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36" i="1" l="1"/>
  <c r="E235" i="1" l="1"/>
  <c r="D235" i="1"/>
  <c r="E234" i="1"/>
  <c r="D234" i="1"/>
  <c r="E233" i="1"/>
  <c r="D233" i="1"/>
  <c r="E232" i="1"/>
  <c r="E231" i="1"/>
  <c r="E230" i="1"/>
  <c r="D230" i="1"/>
  <c r="E229" i="1"/>
  <c r="E228" i="1"/>
  <c r="E227" i="1"/>
  <c r="D227" i="1"/>
  <c r="E226" i="1"/>
  <c r="D226" i="1"/>
  <c r="E225" i="1"/>
  <c r="D225" i="1"/>
  <c r="A225" i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A208" i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A191" i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E189" i="1"/>
  <c r="E188" i="1"/>
  <c r="E187" i="1"/>
  <c r="E186" i="1"/>
  <c r="A186" i="1"/>
  <c r="A187" i="1" s="1"/>
  <c r="A188" i="1" s="1"/>
  <c r="A189" i="1" s="1"/>
  <c r="E185" i="1"/>
  <c r="A185" i="1"/>
  <c r="E182" i="1"/>
  <c r="E181" i="1"/>
  <c r="E179" i="1"/>
  <c r="E178" i="1"/>
  <c r="E176" i="1"/>
  <c r="E175" i="1"/>
  <c r="E174" i="1"/>
  <c r="E173" i="1"/>
  <c r="E172" i="1"/>
  <c r="E171" i="1"/>
  <c r="E170" i="1"/>
  <c r="E169" i="1"/>
  <c r="E168" i="1"/>
  <c r="E166" i="1"/>
  <c r="E165" i="1"/>
  <c r="E164" i="1"/>
  <c r="E163" i="1"/>
  <c r="E162" i="1"/>
  <c r="E161" i="1"/>
  <c r="E159" i="1"/>
  <c r="D159" i="1"/>
  <c r="E158" i="1"/>
  <c r="E157" i="1"/>
  <c r="E156" i="1"/>
  <c r="E155" i="1"/>
  <c r="E154" i="1"/>
  <c r="E153" i="1"/>
  <c r="A153" i="1"/>
  <c r="A154" i="1" s="1"/>
  <c r="A155" i="1" s="1"/>
  <c r="A156" i="1" s="1"/>
  <c r="A157" i="1" s="1"/>
  <c r="A158" i="1" s="1"/>
  <c r="A159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A175" i="1" s="1"/>
  <c r="A176" i="1" s="1"/>
  <c r="A178" i="1" s="1"/>
  <c r="A179" i="1" s="1"/>
  <c r="A181" i="1" s="1"/>
  <c r="A182" i="1" s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E136" i="1"/>
  <c r="E135" i="1"/>
  <c r="A135" i="1"/>
  <c r="A136" i="1" s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A114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E79" i="1"/>
  <c r="A79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E15" i="1"/>
  <c r="E14" i="1"/>
  <c r="E13" i="1"/>
  <c r="E12" i="1"/>
  <c r="A12" i="1"/>
  <c r="A13" i="1" s="1"/>
  <c r="A14" i="1" s="1"/>
  <c r="A15" i="1" s="1"/>
  <c r="E11" i="1"/>
  <c r="A3" i="1"/>
</calcChain>
</file>

<file path=xl/sharedStrings.xml><?xml version="1.0" encoding="utf-8"?>
<sst xmlns="http://schemas.openxmlformats.org/spreadsheetml/2006/main" count="453" uniqueCount="162">
  <si>
    <t>Ծավալաթերթ</t>
  </si>
  <si>
    <t xml:space="preserve">N/N                      </t>
  </si>
  <si>
    <t>Աշխատանքի անվանումը</t>
  </si>
  <si>
    <t>Չափ-</t>
  </si>
  <si>
    <t xml:space="preserve">1 միավ. </t>
  </si>
  <si>
    <t xml:space="preserve">Ընդհանուր </t>
  </si>
  <si>
    <t>ը/կ</t>
  </si>
  <si>
    <t>ման</t>
  </si>
  <si>
    <t>Քանակ</t>
  </si>
  <si>
    <t xml:space="preserve">ընդ.արժ. </t>
  </si>
  <si>
    <t xml:space="preserve">արժեքը </t>
  </si>
  <si>
    <t xml:space="preserve"> միավոր</t>
  </si>
  <si>
    <t>հազ.դր.</t>
  </si>
  <si>
    <t>հազ. դր.</t>
  </si>
  <si>
    <t>Ջրընդունիչ - 1</t>
  </si>
  <si>
    <t>Կոպիճի ֆիլտրող շերտի ստեղծում (70-100 ֆրակցիայի)</t>
  </si>
  <si>
    <t>Խճի ֆիլտրող շերտի ստեղծում (40-70 ֆրակցիայի)</t>
  </si>
  <si>
    <t>Խճի ֆիլտրող շերտի ստեղծում (20-40 ֆրակցիայի)</t>
  </si>
  <si>
    <t>Բետոնե ամրանավորված նախաշերտի իրականացում Վ - 12.5 դասի բետոնից</t>
  </si>
  <si>
    <t>Ամրանային ցանց 150*150մմ</t>
  </si>
  <si>
    <t>Նախապատրաստական շերտի կառուցում հողից</t>
  </si>
  <si>
    <t>Թմբապատման ամրացում ճմբապատումով</t>
  </si>
  <si>
    <t>Ավելորդ գրունտի հարթեցում տեղում</t>
  </si>
  <si>
    <t>Քանդված բնահողի հետլիցք, հարթեցում</t>
  </si>
  <si>
    <t>Խճի նախաշերտ հիմքի տակ</t>
  </si>
  <si>
    <t>Ժապավենաձև հիմքի կառուցում Վ - 12.5 W 6 դասի բետոնից</t>
  </si>
  <si>
    <t>Ջրահավաք պատի կաոռւցում Վ - 15 W6 դասի բետոնից</t>
  </si>
  <si>
    <t>Պատերի արտաքին մասի երկշերտ բիտումապատում</t>
  </si>
  <si>
    <t>Մետաղական դետալների տեղադրում</t>
  </si>
  <si>
    <t>տն</t>
  </si>
  <si>
    <t>Մետաղական խողովակ 89*3.0մմ</t>
  </si>
  <si>
    <t>մ</t>
  </si>
  <si>
    <t>Մետաղական թերթ -250*250*4</t>
  </si>
  <si>
    <t>Մետաղական պաշտպանիչ պատյան  ST d=125մմ</t>
  </si>
  <si>
    <t>Պողպատե էլեմենտների յուղաներկում (2 անգամ)</t>
  </si>
  <si>
    <t>Պողպատե կցաշուրթի տեղադրում d=80մմ</t>
  </si>
  <si>
    <t>հատ</t>
  </si>
  <si>
    <t>Պողպատե ազատ կցաշուրթ de90մմ</t>
  </si>
  <si>
    <t>Պոլիէթիլենային միջադիր de90</t>
  </si>
  <si>
    <t>Ռետինե ներդիր d=50մմ</t>
  </si>
  <si>
    <t>Սողնակային փականի տեղադրում d=80մմ</t>
  </si>
  <si>
    <t>Հակադարձ փականի տեղադրում d=80մմ</t>
  </si>
  <si>
    <t>Պողպատե արտուղղում d=80մմ</t>
  </si>
  <si>
    <t>Դրենաժային պոլիէթիլենային խողովակի տեղադրում d=160մմ</t>
  </si>
  <si>
    <t>Դրենաժային խողովակի անցքավորում 80*5մմ</t>
  </si>
  <si>
    <t>Ջրընդունիչ - 2</t>
  </si>
  <si>
    <t>Ջրընդունիչ - 3</t>
  </si>
  <si>
    <t>Կառուցվող և գոյություն ունեցող ջրատարեր</t>
  </si>
  <si>
    <t>Կառուցվող ջրատարեր</t>
  </si>
  <si>
    <t>Ավազե հիմնատակի կառուցում</t>
  </si>
  <si>
    <t>Խողովակի պաշտպանիչ շերտ ավազով</t>
  </si>
  <si>
    <t>Բնահողի հետլիցք մեխանիզմով</t>
  </si>
  <si>
    <t>Բնահողի հետլիցք ձեռքով</t>
  </si>
  <si>
    <t>Ավելորդ բնահողի փռում տեղում</t>
  </si>
  <si>
    <t>HDPE պոլիէթիլենային խողովակների տեղադրում d=110մմ, PN10, փորձարկումով</t>
  </si>
  <si>
    <t>HDPE պոլիէթիլենային խողովակների տեղադրում d=90մմ, PN10, փորձարկումով</t>
  </si>
  <si>
    <t>Խողովակների լվացում վարակազերծումով</t>
  </si>
  <si>
    <t>Պողպատե եռակցվող կցաշուրթի տեղադրում d=100մմ, PN16</t>
  </si>
  <si>
    <t>Պողպատե ազատ կցաշուրթ de110մմ, PN16</t>
  </si>
  <si>
    <t>Պոլիէթիլենային միջադիր de110, PN10</t>
  </si>
  <si>
    <t>Ռետինե ներդիր de100, PN10</t>
  </si>
  <si>
    <t>Պոլիէթիլենային ձևավոր մասերի տեղադրում</t>
  </si>
  <si>
    <t>Պոլիէթիլենային եռաբաշխիչ de110*90*110, PN10</t>
  </si>
  <si>
    <t>Պոլիէթիլենային անցում de110*90, PN10</t>
  </si>
  <si>
    <t>Պողպատե խցափակում (մետաղական թերթ 120*120*6)</t>
  </si>
  <si>
    <t>կգ</t>
  </si>
  <si>
    <t>Գոյություն ունեցող ջրատարերի վերականգնում</t>
  </si>
  <si>
    <t>Վերականգնման աշխատանքներ</t>
  </si>
  <si>
    <t>2մ * 3մ գոյություն ունեցող մարիչ հորի նորոգում</t>
  </si>
  <si>
    <t>Հատակի ամրանավորված նախաշերտի իրականացում Վ - 12.5 դասի բետոնից, 50մմ հաստ</t>
  </si>
  <si>
    <t>Պատերի ամրանավորված սվաղում</t>
  </si>
  <si>
    <t>Մետաղական մտոցի նորոգում</t>
  </si>
  <si>
    <t>Մետաղական թերթ -800*800*6</t>
  </si>
  <si>
    <t>Կախովի փական</t>
  </si>
  <si>
    <t>Մետաղական մասերի յուղաներկում (2 անգամ)</t>
  </si>
  <si>
    <t>Գոյություն ունեցող դատարկման հորի նորոգում - 3 հատ</t>
  </si>
  <si>
    <t>Պողպատե խողովակի փոխարինում d=159մմ</t>
  </si>
  <si>
    <t>Մետաղական խողովակների նորմալ հակակորոզիոն մեկուսացում</t>
  </si>
  <si>
    <t>Վերականգնվող հատվածներից դատարկման խողովակների տեղադրում - 3 հատ</t>
  </si>
  <si>
    <t>HDPE պոլիէթիլենային դատարկման խողովակների տեղադրում d=90մմ, PN10, փորձարկումով</t>
  </si>
  <si>
    <t>Պոլիէթիլենային ազատ կցաշուրթի տեղադրում d=90մմ, PN16</t>
  </si>
  <si>
    <t>Պոլիէթիլենային միջադիր de90, PN10</t>
  </si>
  <si>
    <t>Ռետինե ներդիր de90մմ, PN10</t>
  </si>
  <si>
    <t>Պոլիմերավազային կլոր դատարկման հորի տեղադրում (առանց նյութի արժեքի)</t>
  </si>
  <si>
    <t>Կլոր պոլիմերավազային դիտահոր H=1.5մ</t>
  </si>
  <si>
    <t>կ-տ</t>
  </si>
  <si>
    <t>Գոյություն ունեցող օդահեռների վերականգնում</t>
  </si>
  <si>
    <t>Գոյություն ունեցող օդահեռների ապամոնտաժում</t>
  </si>
  <si>
    <t>Օդահեռ փականների տեղադրում dn65</t>
  </si>
  <si>
    <t>Վերանորոգման այլ աշխատանքներ</t>
  </si>
  <si>
    <t>HDPE պոլիէթիլենային խողովակների տեղադրում d=63մմ, PN6, փորձարկումով</t>
  </si>
  <si>
    <t>Գլխադիր բետոնների վերականգնում Վ - 12.5 դասի բետոնով</t>
  </si>
  <si>
    <t>Մարիչ  հոր</t>
  </si>
  <si>
    <t>Հողային և բետոնային աշխատանքներ</t>
  </si>
  <si>
    <t>Ետլիցք իրականացում տեղի բնահողից</t>
  </si>
  <si>
    <t>Ավելորդ բնահողի հարթեցում տեղում՝ տողափոխելով մինչև 20մ</t>
  </si>
  <si>
    <t>Ջրընդունիչ հոր</t>
  </si>
  <si>
    <t>Պողպատե խողովակի տեղադրում d=1020*10մմ</t>
  </si>
  <si>
    <t>Մետաղական թիթեղի և աստիճանի  տեղադրում</t>
  </si>
  <si>
    <t>Մետաղական թիթեղ - հիմնատակ d=1100*10մմ</t>
  </si>
  <si>
    <t>Մետաղական թիթեղ - ծածկ d=1020*5մմ</t>
  </si>
  <si>
    <t>Մատնեքավոր թիթեղ - 980*500*6մմ</t>
  </si>
  <si>
    <t>Մետաղական անկյունակ 50*3մմ (մետաղական աստիճան)</t>
  </si>
  <si>
    <t>Ծխնի</t>
  </si>
  <si>
    <t>Կողպեք</t>
  </si>
  <si>
    <t>Մարիչ հորի նորմալ հակակոռոզիոն մեկուսացում</t>
  </si>
  <si>
    <t>Մարիչ հորի ներքին մակերեսի երկշերտ ներկում Սիգմա ներկով</t>
  </si>
  <si>
    <t>Մետաղական մակերեսների երկշերտ ներկում</t>
  </si>
  <si>
    <t>Մարիչ հորի վրա անցքերի բացում d=108մմ</t>
  </si>
  <si>
    <t>Մարիչ հորի վրա անցքերի բացում d=219մմ</t>
  </si>
  <si>
    <t>Պողպատե d=108մմ խողովակի հերմետիկ եռակցում մարիչ հորին</t>
  </si>
  <si>
    <t>Պողպատե d=219մմ խողովակի հերմետիկ եռակցում մարիչ հորին</t>
  </si>
  <si>
    <t>Մատուցող, հեռացնող, դատարկման և գերլցման խողովակաշար</t>
  </si>
  <si>
    <t>Մատուցող պողպատե խողովակի տեղադրում d=108*4մմ</t>
  </si>
  <si>
    <t>Հեռացնող պողպատե խողովակի տեղադրում d=219*5մմ</t>
  </si>
  <si>
    <t>Պողպատե անցում d=219*108մմ</t>
  </si>
  <si>
    <t>Դատարկման պողպատե խողովակի տեղադրում d=108*4մմ</t>
  </si>
  <si>
    <t>Գերլցման պողպատե խողովակի տեղադրում d=108*4մմ</t>
  </si>
  <si>
    <t>Պողպատե d=108*4մմ խողովակների նորմալ հակակոռոզիոն մեկուսացում</t>
  </si>
  <si>
    <t>Պողպատե d=219*5մմ խողովակների նորմալ հակակոռոզիոն մեկուսացում</t>
  </si>
  <si>
    <t>Պողպատե կցաշուրթի տեղադրում d=100մմ, P=1.0ՄՊա</t>
  </si>
  <si>
    <t>Սողնակային փականի տեղադրում d=100մմ, P=1.0ՄՊա</t>
  </si>
  <si>
    <t>Դատարկման պոլիմերավազային հորի տեղադրում (առանց նյութի արժեքի)</t>
  </si>
  <si>
    <t>Կլոր պոլիմերավազային դիտահոր H=1.8մ, d=900մմ</t>
  </si>
  <si>
    <t>Ռետինե միջադիր d=100մմ, P=1.0ՄՊա</t>
  </si>
  <si>
    <t>Թերթապողպատ -100*3մմ, L=150մմ</t>
  </si>
  <si>
    <t>Թաց  և  չոր  խցեր (3 հատ)</t>
  </si>
  <si>
    <t>Խճի նախաշերտի իրականացում 100մմ հաստ.</t>
  </si>
  <si>
    <t>Բետոնե հատակի կառուցում Վ-15 բետոնից</t>
  </si>
  <si>
    <t>Բետոնե պատի կառուցում Վ-15 բետոնից</t>
  </si>
  <si>
    <t>Մետաղական անկյունակ 50*50*4.0մմ</t>
  </si>
  <si>
    <t>Պողպատե ամրանային ցանց Br 4 150*150մմ</t>
  </si>
  <si>
    <t>Ամրան A - 500c    12մմ</t>
  </si>
  <si>
    <t xml:space="preserve">Մետաղական թերթ </t>
  </si>
  <si>
    <t>Մետաղական էլեմենտների յուղաներկում (2 անգամ)</t>
  </si>
  <si>
    <t>Ընդամենը</t>
  </si>
  <si>
    <t>20% ԱԱՀ</t>
  </si>
  <si>
    <t>III կարգի գրունտի մշակում ձեռքով</t>
  </si>
  <si>
    <r>
      <t>մ</t>
    </r>
    <r>
      <rPr>
        <sz val="11"/>
        <color theme="1"/>
        <rFont val="Calibri"/>
        <family val="2"/>
        <charset val="204"/>
      </rPr>
      <t>³</t>
    </r>
  </si>
  <si>
    <t>IV կարգի գրունտի մշակում ձեռքով</t>
  </si>
  <si>
    <t>IV կարգի գրունտի մշակում մեխանիզմով</t>
  </si>
  <si>
    <r>
      <t>1000մ</t>
    </r>
    <r>
      <rPr>
        <sz val="11"/>
        <color theme="1"/>
        <rFont val="Calibri"/>
        <family val="2"/>
        <charset val="204"/>
      </rPr>
      <t>³</t>
    </r>
  </si>
  <si>
    <t>V կարգի գրունտի մշակում մեխանիզմով</t>
  </si>
  <si>
    <r>
      <t>Կավե փականքի ստեղծում - 200մմ (առաջին շերտ) 78մ</t>
    </r>
    <r>
      <rPr>
        <sz val="11"/>
        <color theme="1"/>
        <rFont val="Calibri"/>
        <family val="2"/>
        <charset val="204"/>
      </rPr>
      <t>²</t>
    </r>
  </si>
  <si>
    <r>
      <t>Կավե փականքի ստեղծում - 200մմ (վերին շերտ) 86մ</t>
    </r>
    <r>
      <rPr>
        <sz val="11"/>
        <color theme="1"/>
        <rFont val="Calibri"/>
        <family val="2"/>
        <charset val="204"/>
      </rPr>
      <t>²</t>
    </r>
  </si>
  <si>
    <r>
      <t>մ</t>
    </r>
    <r>
      <rPr>
        <sz val="11"/>
        <color theme="1"/>
        <rFont val="Calibri"/>
        <family val="2"/>
        <charset val="204"/>
      </rPr>
      <t>²</t>
    </r>
  </si>
  <si>
    <r>
      <t>100մ</t>
    </r>
    <r>
      <rPr>
        <sz val="11"/>
        <color theme="1"/>
        <rFont val="Calibri"/>
        <family val="2"/>
        <charset val="204"/>
      </rPr>
      <t>²</t>
    </r>
  </si>
  <si>
    <r>
      <t>Կավե փականքի ստեղծում - 200մմ (առաջին շերտ) 33մ</t>
    </r>
    <r>
      <rPr>
        <sz val="11"/>
        <color theme="1"/>
        <rFont val="Calibri"/>
        <family val="2"/>
        <charset val="204"/>
      </rPr>
      <t>²</t>
    </r>
  </si>
  <si>
    <r>
      <t>Կավե փականքի ստեղծում - 200մմ (վերին շերտ) 40մ</t>
    </r>
    <r>
      <rPr>
        <sz val="11"/>
        <color theme="1"/>
        <rFont val="Calibri"/>
        <family val="2"/>
        <charset val="204"/>
      </rPr>
      <t>²</t>
    </r>
  </si>
  <si>
    <r>
      <t>Կավե փականքի ստեղծում - 200մմ (առաջին շերտ) 20մ</t>
    </r>
    <r>
      <rPr>
        <sz val="11"/>
        <color theme="1"/>
        <rFont val="Calibri"/>
        <family val="2"/>
        <charset val="204"/>
      </rPr>
      <t>²</t>
    </r>
  </si>
  <si>
    <r>
      <t>Կավե փականքի ստեղծում - 200մմ (վերին շերտ) 30մ</t>
    </r>
    <r>
      <rPr>
        <sz val="11"/>
        <color theme="1"/>
        <rFont val="Calibri"/>
        <family val="2"/>
        <charset val="204"/>
      </rPr>
      <t>²</t>
    </r>
  </si>
  <si>
    <t>Խրամուղու փորում III կարգի գրունտում մեխանիզմով, կողլիցքով</t>
  </si>
  <si>
    <t>Խրամուղու քանդում IV կարգի գրունտում մեխանիզմով՝ կողլիցքով</t>
  </si>
  <si>
    <t>Փորված խրամուղու մշակում և կարգավորում ձեռքով  III կարգի գրունտում</t>
  </si>
  <si>
    <r>
      <t>Պոլիէթիլենային արտուղղում de110-90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Arial Armenian"/>
        <family val="2"/>
      </rPr>
      <t>, PN10</t>
    </r>
  </si>
  <si>
    <t>Փոսորակի մշակում III կարգի բնահողերում</t>
  </si>
  <si>
    <r>
      <t xml:space="preserve">Նախապատրաստական և պաշտպանիչ շերտի իրականացում ավազից </t>
    </r>
    <r>
      <rPr>
        <sz val="11"/>
        <color theme="1"/>
        <rFont val="Calibri"/>
        <family val="2"/>
        <charset val="204"/>
      </rPr>
      <t>ɗ</t>
    </r>
    <r>
      <rPr>
        <sz val="11"/>
        <color theme="1"/>
        <rFont val="Arial Armenian"/>
        <family val="2"/>
      </rPr>
      <t>=10սմ/ɗ=20սմ</t>
    </r>
  </si>
  <si>
    <r>
      <t xml:space="preserve">Բետոնե նախապատրաստական շերտ </t>
    </r>
    <r>
      <rPr>
        <sz val="11"/>
        <color theme="1"/>
        <rFont val="Calibri"/>
        <family val="2"/>
        <charset val="204"/>
      </rPr>
      <t>ɗ</t>
    </r>
    <r>
      <rPr>
        <sz val="11"/>
        <color theme="1"/>
        <rFont val="Arial Armenian"/>
        <family val="2"/>
      </rPr>
      <t>=10սմ</t>
    </r>
  </si>
  <si>
    <r>
      <t xml:space="preserve">Մատնեքավոր թիթեղ - R=500մմ, L=400մմ,  </t>
    </r>
    <r>
      <rPr>
        <sz val="11"/>
        <color theme="1"/>
        <rFont val="Calibri"/>
        <family val="2"/>
        <charset val="204"/>
      </rPr>
      <t>ɗ=8մմ</t>
    </r>
  </si>
  <si>
    <r>
      <t xml:space="preserve">Պողպատե արմունկ d=100մմ, </t>
    </r>
    <r>
      <rPr>
        <sz val="11"/>
        <color theme="1"/>
        <rFont val="Calibri"/>
        <family val="2"/>
        <charset val="204"/>
      </rPr>
      <t>α=90°, P=1.0ՄՊա</t>
    </r>
  </si>
  <si>
    <r>
      <t xml:space="preserve">Ծխնի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Arial Armenian"/>
        <family val="2"/>
      </rPr>
      <t>20</t>
    </r>
  </si>
  <si>
    <t>Կշիռ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</si>
</sst>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0.0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1"/>
      <name val="Arial Armenian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2" fillId="0" borderId="9" xfId="0" applyFont="1" applyBorder="1"/>
    <xf numFmtId="164" fontId="3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332;&#1405;&#1381;&#1394;&#1387;%20&#1392;&#1377;&#1396;&#1377;&#1397;&#1398;&#1412;&#1377;&#1402;&#1381;&#1407;&#1377;&#1408;&#1377;&#1398;\2023%20&#1337;&#1400;&#1410;&#1396;&#1377;&#1398;&#1397;&#1377;&#1398;&#1387;%20&#1392;&#1377;&#1396;&#1377;&#1397;&#1398;&#1412;&#1377;&#1402;&#1381;&#1407;&#1377;&#1408;&#1377;&#1398;\2023%20&#1379;&#1398;&#1400;&#1410;&#1396;&#1398;&#1381;&#1408;\01.%20ARMEPS\13&#8228;%20&#1355;&#1408;&#1377;&#1379;&#1387;&#1390;\&#1332;&#1405;&#1381;&#1394;%20&#1403;&#1400;&#1410;&#1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Ջրընդունիչ"/>
      <sheetName val="Ջրատարներ"/>
      <sheetName val="Վերականգնում"/>
      <sheetName val="Մարիչ հոր"/>
      <sheetName val="Թաց և չոր խցեր"/>
      <sheetName val="Հավաք"/>
      <sheetName val="Ամփոփ"/>
      <sheetName val="Բացատրագիր"/>
      <sheetName val="Ծավալաթերթ"/>
    </sheetNames>
    <sheetDataSet>
      <sheetData sheetId="0">
        <row r="3">
          <cell r="A3" t="str">
            <v>ՀՀ  Լոռու  մարզի  Թումանյան  համայանքի  Դսեղ  բնակավայրի  խմելու  ջրագծի  գոյություն  ունեցող  ջրատարի  վերանորոգում  և  ջրընդունիչի  կառուցում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3"/>
  <sheetViews>
    <sheetView tabSelected="1" topLeftCell="A189" workbookViewId="0">
      <selection activeCell="F242" sqref="F242"/>
    </sheetView>
  </sheetViews>
  <sheetFormatPr defaultRowHeight="14.25"/>
  <cols>
    <col min="1" max="1" width="5.42578125" style="2" customWidth="1"/>
    <col min="2" max="2" width="44.140625" style="2" customWidth="1"/>
    <col min="3" max="3" width="9.140625" style="2" customWidth="1"/>
    <col min="4" max="4" width="11.85546875" style="2" customWidth="1"/>
    <col min="5" max="5" width="11.28515625" style="2" customWidth="1"/>
    <col min="6" max="6" width="15" style="2" customWidth="1"/>
    <col min="7" max="7" width="16.42578125" style="2" customWidth="1"/>
    <col min="8" max="8" width="11.42578125" style="2" customWidth="1"/>
    <col min="9" max="9" width="15.140625" style="2" customWidth="1"/>
    <col min="10" max="10" width="9.140625" style="2"/>
    <col min="11" max="11" width="13.85546875" style="2" customWidth="1"/>
    <col min="12" max="13" width="9.140625" style="2"/>
    <col min="14" max="14" width="12.7109375" style="2" customWidth="1"/>
    <col min="15" max="15" width="10.5703125" style="2" customWidth="1"/>
    <col min="16" max="16" width="11.140625" style="2" customWidth="1"/>
    <col min="17" max="17" width="13.140625" style="2" customWidth="1"/>
    <col min="18" max="16384" width="9.140625" style="2"/>
  </cols>
  <sheetData>
    <row r="2" spans="1:19" ht="22.5" customHeight="1">
      <c r="A2" s="61" t="s">
        <v>0</v>
      </c>
      <c r="B2" s="61"/>
      <c r="C2" s="61"/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07.25" customHeight="1" thickBot="1">
      <c r="A3" s="62" t="str">
        <f>[1]Ջրընդունիչ!A3:R3</f>
        <v>ՀՀ  Լոռու  մարզի  Թումանյան  համայանքի  Դսեղ  բնակավայրի  խմելու  ջրագծի  գոյություն  ունեցող  ջրատարի  վերանորոգում  և  ջրընդունիչի  կառուցում</v>
      </c>
      <c r="B3" s="62"/>
      <c r="C3" s="62"/>
      <c r="D3" s="62"/>
      <c r="E3" s="62"/>
      <c r="F3" s="62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s="6" customFormat="1" ht="17.25" customHeight="1">
      <c r="A4" s="3"/>
      <c r="B4" s="4"/>
      <c r="C4" s="4"/>
      <c r="D4" s="4"/>
      <c r="E4" s="5"/>
      <c r="F4" s="67"/>
      <c r="G4" s="72" t="s">
        <v>161</v>
      </c>
      <c r="N4" s="7"/>
      <c r="O4" s="7"/>
      <c r="P4" s="7"/>
      <c r="Q4" s="7"/>
      <c r="R4" s="7"/>
      <c r="S4" s="7"/>
    </row>
    <row r="5" spans="1:19" s="6" customFormat="1" ht="17.25" customHeight="1">
      <c r="A5" s="8" t="s">
        <v>1</v>
      </c>
      <c r="B5" s="9" t="s">
        <v>2</v>
      </c>
      <c r="C5" s="9" t="s">
        <v>3</v>
      </c>
      <c r="D5" s="10"/>
      <c r="E5" s="9" t="s">
        <v>4</v>
      </c>
      <c r="F5" s="68" t="s">
        <v>5</v>
      </c>
      <c r="G5" s="72"/>
    </row>
    <row r="6" spans="1:19" s="6" customFormat="1" ht="17.25" customHeight="1">
      <c r="A6" s="11" t="s">
        <v>6</v>
      </c>
      <c r="B6" s="10"/>
      <c r="C6" s="9" t="s">
        <v>7</v>
      </c>
      <c r="D6" s="9" t="s">
        <v>8</v>
      </c>
      <c r="E6" s="9" t="s">
        <v>9</v>
      </c>
      <c r="F6" s="68" t="s">
        <v>10</v>
      </c>
      <c r="G6" s="72"/>
    </row>
    <row r="7" spans="1:19" s="6" customFormat="1" ht="17.25" customHeight="1">
      <c r="A7" s="12"/>
      <c r="B7" s="13"/>
      <c r="C7" s="14" t="s">
        <v>11</v>
      </c>
      <c r="D7" s="13"/>
      <c r="E7" s="9" t="s">
        <v>12</v>
      </c>
      <c r="F7" s="68" t="s">
        <v>13</v>
      </c>
      <c r="G7" s="72"/>
    </row>
    <row r="8" spans="1:19" s="6" customFormat="1" ht="17.25" customHeight="1">
      <c r="A8" s="15"/>
      <c r="B8" s="16"/>
      <c r="C8" s="17"/>
      <c r="D8" s="16"/>
      <c r="E8" s="18"/>
      <c r="F8" s="69"/>
      <c r="G8" s="72"/>
    </row>
    <row r="9" spans="1:19" ht="16.5" customHeight="1" thickBot="1">
      <c r="A9" s="19">
        <v>1</v>
      </c>
      <c r="B9" s="20">
        <v>3</v>
      </c>
      <c r="C9" s="20">
        <v>4</v>
      </c>
      <c r="D9" s="20">
        <v>5</v>
      </c>
      <c r="E9" s="20">
        <v>6</v>
      </c>
      <c r="F9" s="70">
        <v>7</v>
      </c>
      <c r="G9" s="72"/>
    </row>
    <row r="10" spans="1:19" ht="23.25" customHeight="1">
      <c r="A10" s="17"/>
      <c r="B10" s="21" t="s">
        <v>14</v>
      </c>
      <c r="C10" s="22"/>
      <c r="D10" s="22"/>
      <c r="E10" s="23"/>
      <c r="F10" s="71"/>
      <c r="G10" s="73"/>
    </row>
    <row r="11" spans="1:19" ht="25.5" customHeight="1">
      <c r="A11" s="25">
        <v>1</v>
      </c>
      <c r="B11" s="26" t="s">
        <v>137</v>
      </c>
      <c r="C11" s="25" t="s">
        <v>138</v>
      </c>
      <c r="D11" s="27">
        <v>11</v>
      </c>
      <c r="E11" s="24">
        <f>2.442022*1.133*1.11*1.015*1.01*1.015*1.0015*1.015</f>
        <v>3.2484255294678674</v>
      </c>
      <c r="F11" s="71"/>
      <c r="G11" s="73"/>
    </row>
    <row r="12" spans="1:19" ht="25.5" customHeight="1">
      <c r="A12" s="25">
        <f>A11+1</f>
        <v>2</v>
      </c>
      <c r="B12" s="26" t="s">
        <v>139</v>
      </c>
      <c r="C12" s="25" t="s">
        <v>138</v>
      </c>
      <c r="D12" s="27">
        <v>3</v>
      </c>
      <c r="E12" s="24">
        <f>4.3068388*1.133*1.11*1.015*1.01*1.015*1.0015*1.015</f>
        <v>5.729041388334239</v>
      </c>
      <c r="F12" s="71"/>
      <c r="G12" s="73"/>
    </row>
    <row r="13" spans="1:19" ht="25.5" customHeight="1">
      <c r="A13" s="25">
        <f t="shared" ref="A13:A76" si="0">A12+1</f>
        <v>3</v>
      </c>
      <c r="B13" s="26" t="s">
        <v>140</v>
      </c>
      <c r="C13" s="25" t="s">
        <v>141</v>
      </c>
      <c r="D13" s="28">
        <v>0.106</v>
      </c>
      <c r="E13" s="24">
        <f>757.490756*1.133*1.11*1.015*1.01*1.015*1.0015*1.015</f>
        <v>1007.6290508956573</v>
      </c>
      <c r="F13" s="71"/>
      <c r="G13" s="73"/>
    </row>
    <row r="14" spans="1:19" ht="25.5" customHeight="1">
      <c r="A14" s="25">
        <f t="shared" si="0"/>
        <v>4</v>
      </c>
      <c r="B14" s="26" t="s">
        <v>142</v>
      </c>
      <c r="C14" s="25" t="s">
        <v>141</v>
      </c>
      <c r="D14" s="28">
        <v>0.03</v>
      </c>
      <c r="E14" s="24">
        <f>1021.805338*1.133*1.11*1.015*1.01*1.015*1.0015*1.015</f>
        <v>1359.2254885933637</v>
      </c>
      <c r="F14" s="71"/>
      <c r="G14" s="73"/>
    </row>
    <row r="15" spans="1:19" ht="34.5" customHeight="1">
      <c r="A15" s="25">
        <f t="shared" si="0"/>
        <v>5</v>
      </c>
      <c r="B15" s="26" t="s">
        <v>143</v>
      </c>
      <c r="C15" s="29" t="s">
        <v>138</v>
      </c>
      <c r="D15" s="30">
        <v>15.6</v>
      </c>
      <c r="E15" s="24">
        <f>16.315523752*1.133*1.11*1.015*1.01*1.015*1.0015*1.015</f>
        <v>21.703229488774536</v>
      </c>
      <c r="F15" s="71"/>
      <c r="G15" s="73"/>
    </row>
    <row r="16" spans="1:19" ht="34.5" customHeight="1">
      <c r="A16" s="25">
        <f t="shared" si="0"/>
        <v>6</v>
      </c>
      <c r="B16" s="26" t="s">
        <v>15</v>
      </c>
      <c r="C16" s="29" t="s">
        <v>138</v>
      </c>
      <c r="D16" s="31">
        <v>18</v>
      </c>
      <c r="E16" s="24">
        <f>8.56357364875*1.133*1.11*1.015*1.01*1.015*1.0015*1.015</f>
        <v>11.391433518648807</v>
      </c>
      <c r="F16" s="71"/>
      <c r="G16" s="73"/>
    </row>
    <row r="17" spans="1:7" ht="34.5" customHeight="1">
      <c r="A17" s="25">
        <f t="shared" si="0"/>
        <v>7</v>
      </c>
      <c r="B17" s="26" t="s">
        <v>16</v>
      </c>
      <c r="C17" s="29" t="s">
        <v>138</v>
      </c>
      <c r="D17" s="31">
        <v>34</v>
      </c>
      <c r="E17" s="24">
        <f>13.0046510936*1.133*1.11*1.015*1.01*1.015*1.0015*1.015</f>
        <v>17.299041783518923</v>
      </c>
      <c r="F17" s="71"/>
      <c r="G17" s="73"/>
    </row>
    <row r="18" spans="1:7" ht="34.5" customHeight="1">
      <c r="A18" s="25">
        <f t="shared" si="0"/>
        <v>8</v>
      </c>
      <c r="B18" s="26" t="s">
        <v>17</v>
      </c>
      <c r="C18" s="29" t="s">
        <v>138</v>
      </c>
      <c r="D18" s="31">
        <v>25</v>
      </c>
      <c r="E18" s="24">
        <f>13.0046510936*1.133*1.11*1.015*1.01*1.015*1.0015*1.015</f>
        <v>17.299041783518923</v>
      </c>
      <c r="F18" s="71"/>
      <c r="G18" s="73"/>
    </row>
    <row r="19" spans="1:7" ht="34.5" customHeight="1">
      <c r="A19" s="25">
        <f t="shared" si="0"/>
        <v>9</v>
      </c>
      <c r="B19" s="26" t="s">
        <v>144</v>
      </c>
      <c r="C19" s="29" t="s">
        <v>138</v>
      </c>
      <c r="D19" s="30">
        <v>17.2</v>
      </c>
      <c r="E19" s="24">
        <f>16.315523752*1.133*1.11*1.015*1.01*1.015*1.0015*1.015</f>
        <v>21.703229488774536</v>
      </c>
      <c r="F19" s="71"/>
      <c r="G19" s="73"/>
    </row>
    <row r="20" spans="1:7" ht="34.5" customHeight="1">
      <c r="A20" s="25">
        <f t="shared" si="0"/>
        <v>10</v>
      </c>
      <c r="B20" s="32" t="s">
        <v>18</v>
      </c>
      <c r="C20" s="25" t="s">
        <v>138</v>
      </c>
      <c r="D20" s="27">
        <v>7.8</v>
      </c>
      <c r="E20" s="24">
        <f>37.073945791098*1.133*1.11*1.015*1.01*1.015*1.0015*1.015</f>
        <v>49.316489362467053</v>
      </c>
      <c r="F20" s="71"/>
      <c r="G20" s="73"/>
    </row>
    <row r="21" spans="1:7" ht="25.5" customHeight="1">
      <c r="A21" s="25">
        <f t="shared" si="0"/>
        <v>11</v>
      </c>
      <c r="B21" s="26" t="s">
        <v>19</v>
      </c>
      <c r="C21" s="29" t="s">
        <v>145</v>
      </c>
      <c r="D21" s="31">
        <v>78</v>
      </c>
      <c r="E21" s="24">
        <f>0.9239791176*1.133*1.11*1.015*1.01*1.015*1.0015*1.015</f>
        <v>1.2290951327658111</v>
      </c>
      <c r="F21" s="71"/>
      <c r="G21" s="73"/>
    </row>
    <row r="22" spans="1:7" ht="34.5" customHeight="1">
      <c r="A22" s="25">
        <f t="shared" si="0"/>
        <v>12</v>
      </c>
      <c r="B22" s="32" t="s">
        <v>20</v>
      </c>
      <c r="C22" s="27" t="s">
        <v>138</v>
      </c>
      <c r="D22" s="31">
        <v>13</v>
      </c>
      <c r="E22" s="24">
        <f>1.9758178*1.133*1.11*1.015*1.01*1.015*1.0015*1.015</f>
        <v>2.6282715647512744</v>
      </c>
      <c r="F22" s="71"/>
      <c r="G22" s="73"/>
    </row>
    <row r="23" spans="1:7" ht="25.5" customHeight="1">
      <c r="A23" s="25">
        <f t="shared" si="0"/>
        <v>13</v>
      </c>
      <c r="B23" s="26" t="s">
        <v>21</v>
      </c>
      <c r="C23" s="25" t="s">
        <v>138</v>
      </c>
      <c r="D23" s="31">
        <v>13</v>
      </c>
      <c r="E23" s="24">
        <f>0.47952432*1.133*1.11*1.015*1.01*1.015*1.0015*1.015</f>
        <v>0.63787264942278121</v>
      </c>
      <c r="F23" s="71"/>
      <c r="G23" s="73"/>
    </row>
    <row r="24" spans="1:7" ht="25.5" customHeight="1">
      <c r="A24" s="25">
        <f t="shared" si="0"/>
        <v>14</v>
      </c>
      <c r="B24" s="32" t="s">
        <v>22</v>
      </c>
      <c r="C24" s="27" t="s">
        <v>138</v>
      </c>
      <c r="D24" s="31">
        <v>28</v>
      </c>
      <c r="E24" s="24">
        <f>1.2432112*1.133*1.11*1.015*1.01*1.015*1.0015*1.015</f>
        <v>1.6537439059109142</v>
      </c>
      <c r="F24" s="71"/>
      <c r="G24" s="73"/>
    </row>
    <row r="25" spans="1:7" ht="25.5" customHeight="1">
      <c r="A25" s="25">
        <f t="shared" si="0"/>
        <v>15</v>
      </c>
      <c r="B25" s="32" t="s">
        <v>23</v>
      </c>
      <c r="C25" s="27" t="s">
        <v>138</v>
      </c>
      <c r="D25" s="31">
        <v>122</v>
      </c>
      <c r="E25" s="24">
        <f>1.2432112*1.133*1.11*1.015*1.01*1.015*1.0015*1.015</f>
        <v>1.6537439059109142</v>
      </c>
      <c r="F25" s="71"/>
      <c r="G25" s="73"/>
    </row>
    <row r="26" spans="1:7" ht="25.5" customHeight="1">
      <c r="A26" s="25">
        <f t="shared" si="0"/>
        <v>16</v>
      </c>
      <c r="B26" s="26" t="s">
        <v>24</v>
      </c>
      <c r="C26" s="29" t="s">
        <v>138</v>
      </c>
      <c r="D26" s="30">
        <v>0.6</v>
      </c>
      <c r="E26" s="24">
        <f>13.0046510936*1.133*1.11*1.015*1.01*1.015*1.0015*1.015</f>
        <v>17.299041783518923</v>
      </c>
      <c r="F26" s="71"/>
      <c r="G26" s="73"/>
    </row>
    <row r="27" spans="1:7" ht="34.5" customHeight="1">
      <c r="A27" s="25">
        <f t="shared" si="0"/>
        <v>17</v>
      </c>
      <c r="B27" s="33" t="s">
        <v>25</v>
      </c>
      <c r="C27" s="29" t="s">
        <v>138</v>
      </c>
      <c r="D27" s="34">
        <v>2.1</v>
      </c>
      <c r="E27" s="24">
        <f>72.8524403632051*1.133*1.11*1.015*1.01*1.015*1.0015*1.015</f>
        <v>96.909744121826407</v>
      </c>
      <c r="F27" s="71"/>
      <c r="G27" s="73"/>
    </row>
    <row r="28" spans="1:7" ht="34.5" customHeight="1">
      <c r="A28" s="25">
        <f t="shared" si="0"/>
        <v>18</v>
      </c>
      <c r="B28" s="33" t="s">
        <v>26</v>
      </c>
      <c r="C28" s="29" t="s">
        <v>138</v>
      </c>
      <c r="D28" s="34">
        <v>2.1</v>
      </c>
      <c r="E28" s="24">
        <f>100.690864879325*1.133*1.11*1.015*1.01*1.015*1.0015*1.015</f>
        <v>133.94096206266727</v>
      </c>
      <c r="F28" s="71"/>
      <c r="G28" s="73"/>
    </row>
    <row r="29" spans="1:7" ht="34.5" customHeight="1">
      <c r="A29" s="25">
        <f t="shared" si="0"/>
        <v>19</v>
      </c>
      <c r="B29" s="26" t="s">
        <v>27</v>
      </c>
      <c r="C29" s="25" t="s">
        <v>146</v>
      </c>
      <c r="D29" s="28">
        <v>0.121</v>
      </c>
      <c r="E29" s="24">
        <f>95.335113776*1.133*1.11*1.015*1.01*1.015*1.0015*1.015</f>
        <v>126.81663696915186</v>
      </c>
      <c r="F29" s="71"/>
      <c r="G29" s="73"/>
    </row>
    <row r="30" spans="1:7" ht="25.5" customHeight="1">
      <c r="A30" s="25">
        <f t="shared" si="0"/>
        <v>20</v>
      </c>
      <c r="B30" s="26" t="s">
        <v>28</v>
      </c>
      <c r="C30" s="25" t="s">
        <v>29</v>
      </c>
      <c r="D30" s="27">
        <v>2.5000000000000001E-2</v>
      </c>
      <c r="E30" s="24">
        <f>31.780236*1.133*1.11*1.015*1.01*1.015*1.0015*1.015</f>
        <v>42.274692838522235</v>
      </c>
      <c r="F30" s="71"/>
      <c r="G30" s="73"/>
    </row>
    <row r="31" spans="1:7" ht="25.5" customHeight="1">
      <c r="A31" s="25">
        <f t="shared" si="0"/>
        <v>21</v>
      </c>
      <c r="B31" s="26" t="s">
        <v>30</v>
      </c>
      <c r="C31" s="25" t="s">
        <v>31</v>
      </c>
      <c r="D31" s="27">
        <v>2</v>
      </c>
      <c r="E31" s="24">
        <f>3.265087874013*1.133*1.11*1.015*1.01*1.015*1.0015*1.015</f>
        <v>4.3432838876553088</v>
      </c>
      <c r="F31" s="71"/>
      <c r="G31" s="73"/>
    </row>
    <row r="32" spans="1:7" ht="25.5" customHeight="1">
      <c r="A32" s="25">
        <f t="shared" si="0"/>
        <v>22</v>
      </c>
      <c r="B32" s="26" t="s">
        <v>32</v>
      </c>
      <c r="C32" s="25" t="s">
        <v>29</v>
      </c>
      <c r="D32" s="35">
        <v>9.7999999999999997E-3</v>
      </c>
      <c r="E32" s="24">
        <f>709.7057936199*1.133*1.11*1.015*1.01*1.015*1.0015*1.015</f>
        <v>944.06455732427321</v>
      </c>
      <c r="F32" s="71"/>
      <c r="G32" s="73"/>
    </row>
    <row r="33" spans="1:7" ht="29.25" customHeight="1">
      <c r="A33" s="25">
        <f t="shared" si="0"/>
        <v>23</v>
      </c>
      <c r="B33" s="26" t="s">
        <v>33</v>
      </c>
      <c r="C33" s="25" t="s">
        <v>31</v>
      </c>
      <c r="D33" s="30">
        <v>0.5</v>
      </c>
      <c r="E33" s="24">
        <f>4.5977294223*1.133*1.11*1.015*1.01*1.015*1.0015*1.015</f>
        <v>6.115989795745028</v>
      </c>
      <c r="F33" s="71"/>
      <c r="G33" s="73"/>
    </row>
    <row r="34" spans="1:7" ht="34.5" customHeight="1">
      <c r="A34" s="25">
        <f t="shared" si="0"/>
        <v>24</v>
      </c>
      <c r="B34" s="36" t="s">
        <v>34</v>
      </c>
      <c r="C34" s="29" t="s">
        <v>146</v>
      </c>
      <c r="D34" s="34">
        <v>2.1999999999999999E-2</v>
      </c>
      <c r="E34" s="24">
        <f>110.80963199571*1.133*1.11*1.015*1.01*1.015*1.0015*1.015</f>
        <v>147.40114441467102</v>
      </c>
      <c r="F34" s="71"/>
      <c r="G34" s="73"/>
    </row>
    <row r="35" spans="1:7" ht="25.5" customHeight="1">
      <c r="A35" s="25">
        <f t="shared" si="0"/>
        <v>25</v>
      </c>
      <c r="B35" s="26" t="s">
        <v>35</v>
      </c>
      <c r="C35" s="25" t="s">
        <v>36</v>
      </c>
      <c r="D35" s="27">
        <v>3</v>
      </c>
      <c r="E35" s="24">
        <f>6.660363075*1.133*1.11*1.015*1.01*1.015*1.0015*1.015</f>
        <v>8.8597455093996338</v>
      </c>
      <c r="F35" s="71"/>
      <c r="G35" s="73"/>
    </row>
    <row r="36" spans="1:7" ht="25.5" customHeight="1">
      <c r="A36" s="25">
        <f t="shared" si="0"/>
        <v>26</v>
      </c>
      <c r="B36" s="26" t="s">
        <v>37</v>
      </c>
      <c r="C36" s="29" t="s">
        <v>36</v>
      </c>
      <c r="D36" s="31">
        <v>5</v>
      </c>
      <c r="E36" s="24">
        <f>6.008197545*1.133*1.11*1.015*1.01*1.015*1.0015*1.015</f>
        <v>7.992222138565567</v>
      </c>
      <c r="F36" s="71"/>
      <c r="G36" s="73"/>
    </row>
    <row r="37" spans="1:7" ht="25.5" customHeight="1">
      <c r="A37" s="25">
        <f t="shared" si="0"/>
        <v>27</v>
      </c>
      <c r="B37" s="26" t="s">
        <v>38</v>
      </c>
      <c r="C37" s="29" t="s">
        <v>36</v>
      </c>
      <c r="D37" s="31">
        <v>5</v>
      </c>
      <c r="E37" s="24">
        <f>1.773293256*1.133*1.11*1.015*1.01*1.015*1.0015*1.015</f>
        <v>2.3588694467222648</v>
      </c>
      <c r="F37" s="71"/>
      <c r="G37" s="73"/>
    </row>
    <row r="38" spans="1:7" ht="25.5" customHeight="1">
      <c r="A38" s="25">
        <f t="shared" si="0"/>
        <v>28</v>
      </c>
      <c r="B38" s="26" t="s">
        <v>39</v>
      </c>
      <c r="C38" s="25" t="s">
        <v>36</v>
      </c>
      <c r="D38" s="31">
        <v>5</v>
      </c>
      <c r="E38" s="24">
        <f>0.758316195*1.133*1.11*1.015*1.01*1.015*1.0015*1.015</f>
        <v>1.0087270660325476</v>
      </c>
      <c r="F38" s="71"/>
      <c r="G38" s="73"/>
    </row>
    <row r="39" spans="1:7" ht="25.5" customHeight="1">
      <c r="A39" s="25">
        <f t="shared" si="0"/>
        <v>29</v>
      </c>
      <c r="B39" s="32" t="s">
        <v>40</v>
      </c>
      <c r="C39" s="27" t="s">
        <v>36</v>
      </c>
      <c r="D39" s="27">
        <v>2</v>
      </c>
      <c r="E39" s="24">
        <f>28.75201717*1.133*1.11*1.015*1.01*1.015*1.0015*1.015</f>
        <v>38.246496795985628</v>
      </c>
      <c r="F39" s="71"/>
      <c r="G39" s="73"/>
    </row>
    <row r="40" spans="1:7" ht="25.5" customHeight="1">
      <c r="A40" s="25">
        <f t="shared" si="0"/>
        <v>30</v>
      </c>
      <c r="B40" s="32" t="s">
        <v>41</v>
      </c>
      <c r="C40" s="27" t="s">
        <v>36</v>
      </c>
      <c r="D40" s="27">
        <v>1</v>
      </c>
      <c r="E40" s="24">
        <f>18.312781289*1.133*1.11*1.015*1.01*1.015*1.0015*1.015</f>
        <v>24.36002061191466</v>
      </c>
      <c r="F40" s="71"/>
      <c r="G40" s="73"/>
    </row>
    <row r="41" spans="1:7" ht="25.5" customHeight="1">
      <c r="A41" s="25">
        <f t="shared" si="0"/>
        <v>31</v>
      </c>
      <c r="B41" s="37" t="s">
        <v>42</v>
      </c>
      <c r="C41" s="29" t="s">
        <v>36</v>
      </c>
      <c r="D41" s="38">
        <v>1</v>
      </c>
      <c r="E41" s="24">
        <f>2.041620525*1.133*1.11*1.015*1.01*1.015*1.0015*1.015</f>
        <v>2.7158036393183966</v>
      </c>
      <c r="F41" s="71"/>
      <c r="G41" s="73"/>
    </row>
    <row r="42" spans="1:7" ht="34.5" customHeight="1">
      <c r="A42" s="25">
        <f t="shared" si="0"/>
        <v>32</v>
      </c>
      <c r="B42" s="33" t="s">
        <v>43</v>
      </c>
      <c r="C42" s="34" t="s">
        <v>31</v>
      </c>
      <c r="D42" s="38">
        <v>20</v>
      </c>
      <c r="E42" s="24">
        <f>6.57150091936*1.133*1.11*1.015*1.01*1.015*1.0015*1.015</f>
        <v>8.7415393282167742</v>
      </c>
      <c r="F42" s="71"/>
      <c r="G42" s="73"/>
    </row>
    <row r="43" spans="1:7" ht="25.5" customHeight="1">
      <c r="A43" s="25">
        <f t="shared" si="0"/>
        <v>33</v>
      </c>
      <c r="B43" s="32" t="s">
        <v>44</v>
      </c>
      <c r="C43" s="27" t="s">
        <v>36</v>
      </c>
      <c r="D43" s="31">
        <v>1000</v>
      </c>
      <c r="E43" s="24">
        <f>0.153667964*1.133*1.11*1.015*1.01*1.015*1.0015*1.015</f>
        <v>0.20441213769529884</v>
      </c>
      <c r="F43" s="71"/>
      <c r="G43" s="73"/>
    </row>
    <row r="44" spans="1:7" ht="25.5" customHeight="1">
      <c r="A44" s="25"/>
      <c r="B44" s="21" t="s">
        <v>45</v>
      </c>
      <c r="C44" s="22"/>
      <c r="D44" s="22"/>
      <c r="E44" s="24"/>
      <c r="F44" s="71"/>
      <c r="G44" s="74">
        <v>11.18</v>
      </c>
    </row>
    <row r="45" spans="1:7" ht="25.5" customHeight="1">
      <c r="A45" s="25">
        <f t="shared" si="0"/>
        <v>1</v>
      </c>
      <c r="B45" s="26" t="s">
        <v>137</v>
      </c>
      <c r="C45" s="25" t="s">
        <v>138</v>
      </c>
      <c r="D45" s="27">
        <v>5</v>
      </c>
      <c r="E45" s="24">
        <f>2.442022*1.133*1.11*1.015*1.01*1.015*1.0015*1.015</f>
        <v>3.2484255294678674</v>
      </c>
      <c r="F45" s="71"/>
      <c r="G45" s="73"/>
    </row>
    <row r="46" spans="1:7" ht="25.5" customHeight="1">
      <c r="A46" s="25">
        <f t="shared" si="0"/>
        <v>2</v>
      </c>
      <c r="B46" s="26" t="s">
        <v>139</v>
      </c>
      <c r="C46" s="25" t="s">
        <v>138</v>
      </c>
      <c r="D46" s="27">
        <v>4</v>
      </c>
      <c r="E46" s="24">
        <f>4.3068388*1.133*1.11*1.015*1.01*1.015*1.0015*1.015</f>
        <v>5.729041388334239</v>
      </c>
      <c r="F46" s="71"/>
      <c r="G46" s="73"/>
    </row>
    <row r="47" spans="1:7" ht="25.5" customHeight="1">
      <c r="A47" s="25">
        <f t="shared" si="0"/>
        <v>3</v>
      </c>
      <c r="B47" s="26" t="s">
        <v>140</v>
      </c>
      <c r="C47" s="25" t="s">
        <v>141</v>
      </c>
      <c r="D47" s="28">
        <v>4.2000000000000003E-2</v>
      </c>
      <c r="E47" s="24">
        <f>757.490756*1.133*1.11*1.015*1.01*1.015*1.0015*1.015</f>
        <v>1007.6290508956573</v>
      </c>
      <c r="F47" s="71"/>
      <c r="G47" s="73"/>
    </row>
    <row r="48" spans="1:7" ht="25.5" customHeight="1">
      <c r="A48" s="25">
        <f t="shared" si="0"/>
        <v>4</v>
      </c>
      <c r="B48" s="26" t="s">
        <v>142</v>
      </c>
      <c r="C48" s="25" t="s">
        <v>141</v>
      </c>
      <c r="D48" s="28">
        <v>6.0000000000000001E-3</v>
      </c>
      <c r="E48" s="24">
        <f>1021.805338*1.133*1.11*1.015*1.01*1.015*1.0015*1.015</f>
        <v>1359.2254885933637</v>
      </c>
      <c r="F48" s="71"/>
      <c r="G48" s="73"/>
    </row>
    <row r="49" spans="1:7" ht="34.5" customHeight="1">
      <c r="A49" s="25">
        <f t="shared" si="0"/>
        <v>5</v>
      </c>
      <c r="B49" s="26" t="s">
        <v>147</v>
      </c>
      <c r="C49" s="29" t="s">
        <v>138</v>
      </c>
      <c r="D49" s="30">
        <v>6.6</v>
      </c>
      <c r="E49" s="24">
        <f>16.315523752*1.133*1.11*1.015*1.01*1.015*1.0015*1.015</f>
        <v>21.703229488774536</v>
      </c>
      <c r="F49" s="71"/>
      <c r="G49" s="73"/>
    </row>
    <row r="50" spans="1:7" ht="34.5" customHeight="1">
      <c r="A50" s="25">
        <f t="shared" si="0"/>
        <v>6</v>
      </c>
      <c r="B50" s="26" t="s">
        <v>15</v>
      </c>
      <c r="C50" s="29" t="s">
        <v>138</v>
      </c>
      <c r="D50" s="31">
        <v>12</v>
      </c>
      <c r="E50" s="24">
        <f>8.56357364875*1.133*1.11*1.015*1.01*1.015*1.0015*1.015</f>
        <v>11.391433518648807</v>
      </c>
      <c r="F50" s="71"/>
      <c r="G50" s="73"/>
    </row>
    <row r="51" spans="1:7" ht="34.5" customHeight="1">
      <c r="A51" s="25">
        <f t="shared" si="0"/>
        <v>7</v>
      </c>
      <c r="B51" s="26" t="s">
        <v>16</v>
      </c>
      <c r="C51" s="29" t="s">
        <v>138</v>
      </c>
      <c r="D51" s="31">
        <v>20</v>
      </c>
      <c r="E51" s="24">
        <f>13.0046510936*1.133*1.11*1.015*1.01*1.015*1.0015*1.015</f>
        <v>17.299041783518923</v>
      </c>
      <c r="F51" s="71"/>
      <c r="G51" s="73"/>
    </row>
    <row r="52" spans="1:7" ht="34.5" customHeight="1">
      <c r="A52" s="25">
        <f t="shared" si="0"/>
        <v>8</v>
      </c>
      <c r="B52" s="26" t="s">
        <v>17</v>
      </c>
      <c r="C52" s="29" t="s">
        <v>138</v>
      </c>
      <c r="D52" s="31">
        <v>15</v>
      </c>
      <c r="E52" s="24">
        <f>13.0046510936*1.133*1.11*1.015*1.01*1.015*1.0015*1.015</f>
        <v>17.299041783518923</v>
      </c>
      <c r="F52" s="71"/>
      <c r="G52" s="73"/>
    </row>
    <row r="53" spans="1:7" ht="34.5" customHeight="1">
      <c r="A53" s="25">
        <f t="shared" si="0"/>
        <v>9</v>
      </c>
      <c r="B53" s="26" t="s">
        <v>148</v>
      </c>
      <c r="C53" s="29" t="s">
        <v>138</v>
      </c>
      <c r="D53" s="31">
        <v>8</v>
      </c>
      <c r="E53" s="24">
        <f>16.315523752*1.133*1.11*1.015*1.01*1.015*1.0015*1.015</f>
        <v>21.703229488774536</v>
      </c>
      <c r="F53" s="71"/>
      <c r="G53" s="73"/>
    </row>
    <row r="54" spans="1:7" ht="34.5" customHeight="1">
      <c r="A54" s="25">
        <f t="shared" si="0"/>
        <v>10</v>
      </c>
      <c r="B54" s="32" t="s">
        <v>18</v>
      </c>
      <c r="C54" s="25" t="s">
        <v>138</v>
      </c>
      <c r="D54" s="27">
        <v>3.3</v>
      </c>
      <c r="E54" s="24">
        <f>37.073945791098*1.133*1.11*1.015*1.01*1.015*1.0015*1.015</f>
        <v>49.316489362467053</v>
      </c>
      <c r="F54" s="71"/>
      <c r="G54" s="73"/>
    </row>
    <row r="55" spans="1:7" ht="25.5" customHeight="1">
      <c r="A55" s="25">
        <f t="shared" si="0"/>
        <v>11</v>
      </c>
      <c r="B55" s="26" t="s">
        <v>19</v>
      </c>
      <c r="C55" s="29" t="s">
        <v>145</v>
      </c>
      <c r="D55" s="31">
        <v>33</v>
      </c>
      <c r="E55" s="24">
        <f>0.9239791176*1.133*1.11*1.015*1.01*1.015*1.0015*1.015</f>
        <v>1.2290951327658111</v>
      </c>
      <c r="F55" s="71"/>
      <c r="G55" s="73"/>
    </row>
    <row r="56" spans="1:7" ht="34.5" customHeight="1">
      <c r="A56" s="25">
        <f t="shared" si="0"/>
        <v>12</v>
      </c>
      <c r="B56" s="32" t="s">
        <v>20</v>
      </c>
      <c r="C56" s="27" t="s">
        <v>138</v>
      </c>
      <c r="D56" s="31">
        <v>6</v>
      </c>
      <c r="E56" s="24">
        <f>1.9758178*1.133*1.11*1.015*1.01*1.015*1.0015*1.015</f>
        <v>2.6282715647512744</v>
      </c>
      <c r="F56" s="71"/>
      <c r="G56" s="73"/>
    </row>
    <row r="57" spans="1:7" ht="25.5" customHeight="1">
      <c r="A57" s="25">
        <f t="shared" si="0"/>
        <v>13</v>
      </c>
      <c r="B57" s="26" t="s">
        <v>21</v>
      </c>
      <c r="C57" s="25" t="s">
        <v>138</v>
      </c>
      <c r="D57" s="31">
        <v>6</v>
      </c>
      <c r="E57" s="24">
        <f>0.47952432*1.133*1.11*1.015*1.01*1.015*1.0015*1.015</f>
        <v>0.63787264942278121</v>
      </c>
      <c r="F57" s="71"/>
      <c r="G57" s="73"/>
    </row>
    <row r="58" spans="1:7" ht="25.5" customHeight="1">
      <c r="A58" s="25">
        <f t="shared" si="0"/>
        <v>14</v>
      </c>
      <c r="B58" s="32" t="s">
        <v>22</v>
      </c>
      <c r="C58" s="27" t="s">
        <v>138</v>
      </c>
      <c r="D58" s="30">
        <v>53.6</v>
      </c>
      <c r="E58" s="24">
        <f>1.2432112*1.133*1.11*1.015*1.01*1.015*1.0015*1.015</f>
        <v>1.6537439059109142</v>
      </c>
      <c r="F58" s="71"/>
      <c r="G58" s="73"/>
    </row>
    <row r="59" spans="1:7" ht="25.5" customHeight="1">
      <c r="A59" s="25">
        <f t="shared" si="0"/>
        <v>15</v>
      </c>
      <c r="B59" s="32" t="s">
        <v>23</v>
      </c>
      <c r="C59" s="27" t="s">
        <v>138</v>
      </c>
      <c r="D59" s="30">
        <v>3.4</v>
      </c>
      <c r="E59" s="24">
        <f>1.2432112*1.133*1.11*1.015*1.01*1.015*1.0015*1.015</f>
        <v>1.6537439059109142</v>
      </c>
      <c r="F59" s="71"/>
      <c r="G59" s="73"/>
    </row>
    <row r="60" spans="1:7" ht="25.5" customHeight="1">
      <c r="A60" s="25">
        <f t="shared" si="0"/>
        <v>16</v>
      </c>
      <c r="B60" s="26" t="s">
        <v>24</v>
      </c>
      <c r="C60" s="29" t="s">
        <v>138</v>
      </c>
      <c r="D60" s="30">
        <v>0.6</v>
      </c>
      <c r="E60" s="24">
        <f>13.0046510936*1.133*1.11*1.015*1.01*1.015*1.0015*1.015</f>
        <v>17.299041783518923</v>
      </c>
      <c r="F60" s="71"/>
      <c r="G60" s="73"/>
    </row>
    <row r="61" spans="1:7" ht="34.5" customHeight="1">
      <c r="A61" s="25">
        <f t="shared" si="0"/>
        <v>17</v>
      </c>
      <c r="B61" s="33" t="s">
        <v>25</v>
      </c>
      <c r="C61" s="29" t="s">
        <v>138</v>
      </c>
      <c r="D61" s="34">
        <v>2.1</v>
      </c>
      <c r="E61" s="24">
        <f>72.8524403632051*1.133*1.11*1.015*1.01*1.015*1.0015*1.015</f>
        <v>96.909744121826407</v>
      </c>
      <c r="F61" s="71"/>
      <c r="G61" s="73"/>
    </row>
    <row r="62" spans="1:7" ht="34.5" customHeight="1">
      <c r="A62" s="25">
        <f t="shared" si="0"/>
        <v>18</v>
      </c>
      <c r="B62" s="33" t="s">
        <v>26</v>
      </c>
      <c r="C62" s="29" t="s">
        <v>138</v>
      </c>
      <c r="D62" s="34">
        <v>2.1</v>
      </c>
      <c r="E62" s="24">
        <f>100.690864879325*1.133*1.11*1.015*1.01*1.015*1.0015*1.015</f>
        <v>133.94096206266727</v>
      </c>
      <c r="F62" s="71"/>
      <c r="G62" s="73"/>
    </row>
    <row r="63" spans="1:7" ht="34.5" customHeight="1">
      <c r="A63" s="25">
        <f t="shared" si="0"/>
        <v>19</v>
      </c>
      <c r="B63" s="26" t="s">
        <v>27</v>
      </c>
      <c r="C63" s="25" t="s">
        <v>146</v>
      </c>
      <c r="D63" s="28">
        <v>0.121</v>
      </c>
      <c r="E63" s="24">
        <f>95.335113776*1.133*1.11*1.015*1.01*1.015*1.0015*1.015</f>
        <v>126.81663696915186</v>
      </c>
      <c r="F63" s="71"/>
      <c r="G63" s="73"/>
    </row>
    <row r="64" spans="1:7" ht="25.5" customHeight="1">
      <c r="A64" s="25">
        <f t="shared" si="0"/>
        <v>20</v>
      </c>
      <c r="B64" s="26" t="s">
        <v>28</v>
      </c>
      <c r="C64" s="25" t="s">
        <v>29</v>
      </c>
      <c r="D64" s="27">
        <v>2.5000000000000001E-2</v>
      </c>
      <c r="E64" s="24">
        <f>31.780236*1.133*1.11*1.015*1.01*1.015*1.0015*1.015</f>
        <v>42.274692838522235</v>
      </c>
      <c r="F64" s="71"/>
      <c r="G64" s="73"/>
    </row>
    <row r="65" spans="1:7" ht="25.5" customHeight="1">
      <c r="A65" s="25">
        <f t="shared" si="0"/>
        <v>21</v>
      </c>
      <c r="B65" s="26" t="s">
        <v>30</v>
      </c>
      <c r="C65" s="25" t="s">
        <v>31</v>
      </c>
      <c r="D65" s="27">
        <v>2</v>
      </c>
      <c r="E65" s="24">
        <f>3.265087874013*1.133*1.11*1.015*1.01*1.015*1.0015*1.015</f>
        <v>4.3432838876553088</v>
      </c>
      <c r="F65" s="71"/>
      <c r="G65" s="73"/>
    </row>
    <row r="66" spans="1:7" ht="25.5" customHeight="1">
      <c r="A66" s="25">
        <f t="shared" si="0"/>
        <v>22</v>
      </c>
      <c r="B66" s="26" t="s">
        <v>32</v>
      </c>
      <c r="C66" s="25" t="s">
        <v>29</v>
      </c>
      <c r="D66" s="35">
        <v>9.7999999999999997E-3</v>
      </c>
      <c r="E66" s="24">
        <f>709.7057936199*1.133*1.11*1.015*1.01*1.015*1.0015*1.015</f>
        <v>944.06455732427321</v>
      </c>
      <c r="F66" s="71"/>
      <c r="G66" s="73"/>
    </row>
    <row r="67" spans="1:7" ht="34.5" customHeight="1">
      <c r="A67" s="25">
        <f t="shared" si="0"/>
        <v>23</v>
      </c>
      <c r="B67" s="26" t="s">
        <v>33</v>
      </c>
      <c r="C67" s="25" t="s">
        <v>31</v>
      </c>
      <c r="D67" s="30">
        <v>0.5</v>
      </c>
      <c r="E67" s="24">
        <f>4.5977294223*1.133*1.11*1.015*1.01*1.015*1.0015*1.015</f>
        <v>6.115989795745028</v>
      </c>
      <c r="F67" s="71"/>
      <c r="G67" s="73"/>
    </row>
    <row r="68" spans="1:7" ht="34.5" customHeight="1">
      <c r="A68" s="25">
        <f t="shared" si="0"/>
        <v>24</v>
      </c>
      <c r="B68" s="36" t="s">
        <v>34</v>
      </c>
      <c r="C68" s="29" t="s">
        <v>146</v>
      </c>
      <c r="D68" s="34">
        <v>2.1999999999999999E-2</v>
      </c>
      <c r="E68" s="24">
        <f>110.80963199571*1.133*1.11*1.015*1.01*1.015*1.0015*1.015</f>
        <v>147.40114441467102</v>
      </c>
      <c r="F68" s="71"/>
      <c r="G68" s="73"/>
    </row>
    <row r="69" spans="1:7" ht="25.5" customHeight="1">
      <c r="A69" s="25">
        <f t="shared" si="0"/>
        <v>25</v>
      </c>
      <c r="B69" s="26" t="s">
        <v>35</v>
      </c>
      <c r="C69" s="25" t="s">
        <v>36</v>
      </c>
      <c r="D69" s="27">
        <v>3</v>
      </c>
      <c r="E69" s="24">
        <f>6.660363075*1.133*1.11*1.015*1.01*1.015*1.0015*1.015</f>
        <v>8.8597455093996338</v>
      </c>
      <c r="F69" s="71"/>
      <c r="G69" s="73"/>
    </row>
    <row r="70" spans="1:7" ht="25.5" customHeight="1">
      <c r="A70" s="25">
        <f t="shared" si="0"/>
        <v>26</v>
      </c>
      <c r="B70" s="26" t="s">
        <v>37</v>
      </c>
      <c r="C70" s="29" t="s">
        <v>36</v>
      </c>
      <c r="D70" s="31">
        <v>5</v>
      </c>
      <c r="E70" s="24">
        <f>6.008197545*1.133*1.11*1.015*1.01*1.015*1.0015*1.015</f>
        <v>7.992222138565567</v>
      </c>
      <c r="F70" s="71"/>
      <c r="G70" s="73"/>
    </row>
    <row r="71" spans="1:7" ht="25.5" customHeight="1">
      <c r="A71" s="25">
        <f t="shared" si="0"/>
        <v>27</v>
      </c>
      <c r="B71" s="26" t="s">
        <v>38</v>
      </c>
      <c r="C71" s="29" t="s">
        <v>36</v>
      </c>
      <c r="D71" s="31">
        <v>5</v>
      </c>
      <c r="E71" s="24">
        <f>1.773293256*1.133*1.11*1.015*1.01*1.015*1.0015*1.015</f>
        <v>2.3588694467222648</v>
      </c>
      <c r="F71" s="71"/>
      <c r="G71" s="73"/>
    </row>
    <row r="72" spans="1:7" ht="25.5" customHeight="1">
      <c r="A72" s="25">
        <f t="shared" si="0"/>
        <v>28</v>
      </c>
      <c r="B72" s="26" t="s">
        <v>39</v>
      </c>
      <c r="C72" s="25" t="s">
        <v>36</v>
      </c>
      <c r="D72" s="31">
        <v>5</v>
      </c>
      <c r="E72" s="24">
        <f>0.758316195*1.133*1.11*1.015*1.01*1.015*1.0015*1.015</f>
        <v>1.0087270660325476</v>
      </c>
      <c r="F72" s="71"/>
      <c r="G72" s="73"/>
    </row>
    <row r="73" spans="1:7" ht="25.5" customHeight="1">
      <c r="A73" s="25">
        <f t="shared" si="0"/>
        <v>29</v>
      </c>
      <c r="B73" s="32" t="s">
        <v>40</v>
      </c>
      <c r="C73" s="27" t="s">
        <v>36</v>
      </c>
      <c r="D73" s="27">
        <v>2</v>
      </c>
      <c r="E73" s="24">
        <f>28.75201717*1.133*1.11*1.015*1.01*1.015*1.0015*1.015</f>
        <v>38.246496795985628</v>
      </c>
      <c r="F73" s="71"/>
      <c r="G73" s="73"/>
    </row>
    <row r="74" spans="1:7" ht="25.5" customHeight="1">
      <c r="A74" s="25">
        <f t="shared" si="0"/>
        <v>30</v>
      </c>
      <c r="B74" s="32" t="s">
        <v>41</v>
      </c>
      <c r="C74" s="27" t="s">
        <v>36</v>
      </c>
      <c r="D74" s="27">
        <v>1</v>
      </c>
      <c r="E74" s="24">
        <f>18.312781289*1.133*1.11*1.015*1.01*1.015*1.0015*1.015</f>
        <v>24.36002061191466</v>
      </c>
      <c r="F74" s="71"/>
      <c r="G74" s="73"/>
    </row>
    <row r="75" spans="1:7" ht="25.5" customHeight="1">
      <c r="A75" s="25">
        <f t="shared" si="0"/>
        <v>31</v>
      </c>
      <c r="B75" s="37" t="s">
        <v>42</v>
      </c>
      <c r="C75" s="29" t="s">
        <v>36</v>
      </c>
      <c r="D75" s="38">
        <v>1</v>
      </c>
      <c r="E75" s="24">
        <f>2.041620525*1.133*1.11*1.015*1.01*1.015*1.0015*1.015</f>
        <v>2.7158036393183966</v>
      </c>
      <c r="F75" s="71"/>
      <c r="G75" s="73"/>
    </row>
    <row r="76" spans="1:7" ht="34.5" customHeight="1">
      <c r="A76" s="25">
        <f t="shared" si="0"/>
        <v>32</v>
      </c>
      <c r="B76" s="33" t="s">
        <v>43</v>
      </c>
      <c r="C76" s="34" t="s">
        <v>31</v>
      </c>
      <c r="D76" s="39">
        <v>6.5</v>
      </c>
      <c r="E76" s="24">
        <f>6.57150091936*1.133*1.11*1.015*1.01*1.015*1.0015*1.015</f>
        <v>8.7415393282167742</v>
      </c>
      <c r="F76" s="71"/>
      <c r="G76" s="73"/>
    </row>
    <row r="77" spans="1:7" ht="25.5" customHeight="1">
      <c r="A77" s="25">
        <f t="shared" ref="A77:A140" si="1">A76+1</f>
        <v>33</v>
      </c>
      <c r="B77" s="32" t="s">
        <v>44</v>
      </c>
      <c r="C77" s="27" t="s">
        <v>36</v>
      </c>
      <c r="D77" s="31">
        <v>195</v>
      </c>
      <c r="E77" s="24">
        <f>0.153667964*1.133*1.11*1.015*1.01*1.015*1.0015*1.015</f>
        <v>0.20441213769529884</v>
      </c>
      <c r="F77" s="71"/>
      <c r="G77" s="73"/>
    </row>
    <row r="78" spans="1:7" ht="25.5" customHeight="1">
      <c r="A78" s="25"/>
      <c r="B78" s="21" t="s">
        <v>46</v>
      </c>
      <c r="C78" s="22"/>
      <c r="D78" s="22"/>
      <c r="E78" s="24"/>
      <c r="F78" s="71"/>
      <c r="G78" s="74">
        <v>6.37</v>
      </c>
    </row>
    <row r="79" spans="1:7" ht="25.5" customHeight="1">
      <c r="A79" s="25">
        <f t="shared" si="1"/>
        <v>1</v>
      </c>
      <c r="B79" s="26" t="s">
        <v>137</v>
      </c>
      <c r="C79" s="25" t="s">
        <v>138</v>
      </c>
      <c r="D79" s="27">
        <v>3</v>
      </c>
      <c r="E79" s="24">
        <f>2.442022*1.133*1.11*1.015*1.01*1.015*1.0015*1.015</f>
        <v>3.2484255294678674</v>
      </c>
      <c r="F79" s="71"/>
      <c r="G79" s="73"/>
    </row>
    <row r="80" spans="1:7" ht="25.5" customHeight="1">
      <c r="A80" s="25">
        <f t="shared" si="1"/>
        <v>2</v>
      </c>
      <c r="B80" s="26" t="s">
        <v>139</v>
      </c>
      <c r="C80" s="25" t="s">
        <v>138</v>
      </c>
      <c r="D80" s="27">
        <v>3</v>
      </c>
      <c r="E80" s="24">
        <f>4.3068388*1.133*1.11*1.015*1.01*1.015*1.0015*1.015</f>
        <v>5.729041388334239</v>
      </c>
      <c r="F80" s="71"/>
      <c r="G80" s="73"/>
    </row>
    <row r="81" spans="1:7" ht="25.5" customHeight="1">
      <c r="A81" s="25">
        <f t="shared" si="1"/>
        <v>3</v>
      </c>
      <c r="B81" s="26" t="s">
        <v>140</v>
      </c>
      <c r="C81" s="25" t="s">
        <v>141</v>
      </c>
      <c r="D81" s="28">
        <v>2.5999999999999999E-2</v>
      </c>
      <c r="E81" s="24">
        <f>757.490756*1.133*1.11*1.015*1.01*1.015*1.0015*1.015</f>
        <v>1007.6290508956573</v>
      </c>
      <c r="F81" s="71"/>
      <c r="G81" s="73"/>
    </row>
    <row r="82" spans="1:7" ht="25.5" customHeight="1">
      <c r="A82" s="25">
        <f t="shared" si="1"/>
        <v>4</v>
      </c>
      <c r="B82" s="26" t="s">
        <v>142</v>
      </c>
      <c r="C82" s="25" t="s">
        <v>141</v>
      </c>
      <c r="D82" s="28">
        <v>4.0000000000000001E-3</v>
      </c>
      <c r="E82" s="24">
        <f>1021.805338*1.133*1.11*1.015*1.01*1.015*1.0015*1.015</f>
        <v>1359.2254885933637</v>
      </c>
      <c r="F82" s="71"/>
      <c r="G82" s="73"/>
    </row>
    <row r="83" spans="1:7" ht="34.5" customHeight="1">
      <c r="A83" s="25">
        <f t="shared" si="1"/>
        <v>5</v>
      </c>
      <c r="B83" s="26" t="s">
        <v>149</v>
      </c>
      <c r="C83" s="29" t="s">
        <v>138</v>
      </c>
      <c r="D83" s="30">
        <v>4</v>
      </c>
      <c r="E83" s="24">
        <f>16.315523752*1.133*1.11*1.015*1.01*1.015*1.0015*1.015</f>
        <v>21.703229488774536</v>
      </c>
      <c r="F83" s="71"/>
      <c r="G83" s="73"/>
    </row>
    <row r="84" spans="1:7" ht="34.5" customHeight="1">
      <c r="A84" s="25">
        <f t="shared" si="1"/>
        <v>6</v>
      </c>
      <c r="B84" s="26" t="s">
        <v>15</v>
      </c>
      <c r="C84" s="29" t="s">
        <v>138</v>
      </c>
      <c r="D84" s="31">
        <v>10</v>
      </c>
      <c r="E84" s="24">
        <f>8.56357364875*1.133*1.11*1.015*1.01*1.015*1.0015*1.015</f>
        <v>11.391433518648807</v>
      </c>
      <c r="F84" s="71"/>
      <c r="G84" s="73"/>
    </row>
    <row r="85" spans="1:7" ht="34.5" customHeight="1">
      <c r="A85" s="25">
        <f t="shared" si="1"/>
        <v>7</v>
      </c>
      <c r="B85" s="26" t="s">
        <v>16</v>
      </c>
      <c r="C85" s="29" t="s">
        <v>138</v>
      </c>
      <c r="D85" s="31">
        <v>13</v>
      </c>
      <c r="E85" s="24">
        <f>13.0046510936*1.133*1.11*1.015*1.01*1.015*1.0015*1.015</f>
        <v>17.299041783518923</v>
      </c>
      <c r="F85" s="71"/>
      <c r="G85" s="73"/>
    </row>
    <row r="86" spans="1:7" ht="34.5" customHeight="1">
      <c r="A86" s="25">
        <f t="shared" si="1"/>
        <v>8</v>
      </c>
      <c r="B86" s="26" t="s">
        <v>17</v>
      </c>
      <c r="C86" s="29" t="s">
        <v>138</v>
      </c>
      <c r="D86" s="31">
        <v>9</v>
      </c>
      <c r="E86" s="24">
        <f>13.0046510936*1.133*1.11*1.015*1.01*1.015*1.0015*1.015</f>
        <v>17.299041783518923</v>
      </c>
      <c r="F86" s="71"/>
      <c r="G86" s="73"/>
    </row>
    <row r="87" spans="1:7" ht="34.5" customHeight="1">
      <c r="A87" s="25">
        <f t="shared" si="1"/>
        <v>9</v>
      </c>
      <c r="B87" s="26" t="s">
        <v>150</v>
      </c>
      <c r="C87" s="29" t="s">
        <v>138</v>
      </c>
      <c r="D87" s="31">
        <v>6</v>
      </c>
      <c r="E87" s="24">
        <f>16.315523752*1.133*1.11*1.015*1.01*1.015*1.0015*1.015</f>
        <v>21.703229488774536</v>
      </c>
      <c r="F87" s="71"/>
      <c r="G87" s="73"/>
    </row>
    <row r="88" spans="1:7" ht="34.5" customHeight="1">
      <c r="A88" s="25">
        <f t="shared" si="1"/>
        <v>10</v>
      </c>
      <c r="B88" s="32" t="s">
        <v>18</v>
      </c>
      <c r="C88" s="25" t="s">
        <v>138</v>
      </c>
      <c r="D88" s="27">
        <v>3</v>
      </c>
      <c r="E88" s="24">
        <f>37.073945791098*1.133*1.11*1.015*1.01*1.015*1.0015*1.015</f>
        <v>49.316489362467053</v>
      </c>
      <c r="F88" s="71"/>
      <c r="G88" s="73"/>
    </row>
    <row r="89" spans="1:7" ht="25.5" customHeight="1">
      <c r="A89" s="25">
        <f t="shared" si="1"/>
        <v>11</v>
      </c>
      <c r="B89" s="26" t="s">
        <v>19</v>
      </c>
      <c r="C89" s="29" t="s">
        <v>145</v>
      </c>
      <c r="D89" s="31">
        <v>30</v>
      </c>
      <c r="E89" s="24">
        <f>0.9239791176*1.133*1.11*1.015*1.01*1.015*1.0015*1.015</f>
        <v>1.2290951327658111</v>
      </c>
      <c r="F89" s="71"/>
      <c r="G89" s="73"/>
    </row>
    <row r="90" spans="1:7" ht="34.5" customHeight="1">
      <c r="A90" s="25">
        <f t="shared" si="1"/>
        <v>12</v>
      </c>
      <c r="B90" s="32" t="s">
        <v>20</v>
      </c>
      <c r="C90" s="27" t="s">
        <v>138</v>
      </c>
      <c r="D90" s="30">
        <v>4.5</v>
      </c>
      <c r="E90" s="24">
        <f>1.9758178*1.133*1.11*1.015*1.01*1.015*1.0015*1.015</f>
        <v>2.6282715647512744</v>
      </c>
      <c r="F90" s="71"/>
      <c r="G90" s="73"/>
    </row>
    <row r="91" spans="1:7" ht="25.5" customHeight="1">
      <c r="A91" s="25">
        <f t="shared" si="1"/>
        <v>13</v>
      </c>
      <c r="B91" s="26" t="s">
        <v>21</v>
      </c>
      <c r="C91" s="25" t="s">
        <v>138</v>
      </c>
      <c r="D91" s="30">
        <v>4.5</v>
      </c>
      <c r="E91" s="24">
        <f>0.47952432*1.133*1.11*1.015*1.01*1.015*1.0015*1.015</f>
        <v>0.63787264942278121</v>
      </c>
      <c r="F91" s="71"/>
      <c r="G91" s="73"/>
    </row>
    <row r="92" spans="1:7" ht="25.5" customHeight="1">
      <c r="A92" s="25">
        <f t="shared" si="1"/>
        <v>14</v>
      </c>
      <c r="B92" s="32" t="s">
        <v>22</v>
      </c>
      <c r="C92" s="27" t="s">
        <v>138</v>
      </c>
      <c r="D92" s="30">
        <v>30</v>
      </c>
      <c r="E92" s="24">
        <f>1.2432112*1.133*1.11*1.015*1.01*1.015*1.0015*1.015</f>
        <v>1.6537439059109142</v>
      </c>
      <c r="F92" s="71"/>
      <c r="G92" s="73"/>
    </row>
    <row r="93" spans="1:7" ht="25.5" customHeight="1">
      <c r="A93" s="25">
        <f t="shared" si="1"/>
        <v>15</v>
      </c>
      <c r="B93" s="32" t="s">
        <v>23</v>
      </c>
      <c r="C93" s="27" t="s">
        <v>138</v>
      </c>
      <c r="D93" s="30">
        <v>6</v>
      </c>
      <c r="E93" s="24">
        <f>1.2432112*1.133*1.11*1.015*1.01*1.015*1.0015*1.015</f>
        <v>1.6537439059109142</v>
      </c>
      <c r="F93" s="71"/>
      <c r="G93" s="73"/>
    </row>
    <row r="94" spans="1:7" ht="29.25" customHeight="1">
      <c r="A94" s="25">
        <f t="shared" si="1"/>
        <v>16</v>
      </c>
      <c r="B94" s="26" t="s">
        <v>24</v>
      </c>
      <c r="C94" s="29" t="s">
        <v>138</v>
      </c>
      <c r="D94" s="30">
        <v>0.6</v>
      </c>
      <c r="E94" s="24">
        <f>13.0046510936*1.133*1.11*1.015*1.01*1.015*1.0015*1.015</f>
        <v>17.299041783518923</v>
      </c>
      <c r="F94" s="71"/>
      <c r="G94" s="73"/>
    </row>
    <row r="95" spans="1:7" ht="34.5" customHeight="1">
      <c r="A95" s="25">
        <f t="shared" si="1"/>
        <v>17</v>
      </c>
      <c r="B95" s="33" t="s">
        <v>25</v>
      </c>
      <c r="C95" s="29" t="s">
        <v>138</v>
      </c>
      <c r="D95" s="34">
        <v>2.1</v>
      </c>
      <c r="E95" s="24">
        <f>72.8524403632051*1.133*1.11*1.015*1.01*1.015*1.0015*1.015</f>
        <v>96.909744121826407</v>
      </c>
      <c r="F95" s="71"/>
      <c r="G95" s="73"/>
    </row>
    <row r="96" spans="1:7" ht="34.5" customHeight="1">
      <c r="A96" s="25">
        <f t="shared" si="1"/>
        <v>18</v>
      </c>
      <c r="B96" s="33" t="s">
        <v>26</v>
      </c>
      <c r="C96" s="29" t="s">
        <v>138</v>
      </c>
      <c r="D96" s="34">
        <v>2.1</v>
      </c>
      <c r="E96" s="24">
        <f>100.690864879325*1.133*1.11*1.015*1.01*1.015*1.0015*1.015</f>
        <v>133.94096206266727</v>
      </c>
      <c r="F96" s="71"/>
      <c r="G96" s="73"/>
    </row>
    <row r="97" spans="1:7" ht="34.5" customHeight="1">
      <c r="A97" s="25">
        <f t="shared" si="1"/>
        <v>19</v>
      </c>
      <c r="B97" s="26" t="s">
        <v>27</v>
      </c>
      <c r="C97" s="25" t="s">
        <v>146</v>
      </c>
      <c r="D97" s="28">
        <v>0.121</v>
      </c>
      <c r="E97" s="24">
        <f>95.335113776*1.133*1.11*1.015*1.01*1.015*1.0015*1.015</f>
        <v>126.81663696915186</v>
      </c>
      <c r="F97" s="71"/>
      <c r="G97" s="73"/>
    </row>
    <row r="98" spans="1:7" ht="25.5" customHeight="1">
      <c r="A98" s="25">
        <f t="shared" si="1"/>
        <v>20</v>
      </c>
      <c r="B98" s="26" t="s">
        <v>28</v>
      </c>
      <c r="C98" s="25" t="s">
        <v>29</v>
      </c>
      <c r="D98" s="27">
        <v>2.5000000000000001E-2</v>
      </c>
      <c r="E98" s="24">
        <f>31.780236*1.133*1.11*1.015*1.01*1.015*1.0015*1.015</f>
        <v>42.274692838522235</v>
      </c>
      <c r="F98" s="71"/>
      <c r="G98" s="73"/>
    </row>
    <row r="99" spans="1:7" ht="25.5" customHeight="1">
      <c r="A99" s="25">
        <f t="shared" si="1"/>
        <v>21</v>
      </c>
      <c r="B99" s="26" t="s">
        <v>30</v>
      </c>
      <c r="C99" s="25" t="s">
        <v>31</v>
      </c>
      <c r="D99" s="27">
        <v>2</v>
      </c>
      <c r="E99" s="24">
        <f>3.265087874013*1.133*1.11*1.015*1.01*1.015*1.0015*1.015</f>
        <v>4.3432838876553088</v>
      </c>
      <c r="F99" s="71"/>
      <c r="G99" s="73"/>
    </row>
    <row r="100" spans="1:7" ht="25.5" customHeight="1">
      <c r="A100" s="25">
        <f t="shared" si="1"/>
        <v>22</v>
      </c>
      <c r="B100" s="26" t="s">
        <v>32</v>
      </c>
      <c r="C100" s="25" t="s">
        <v>29</v>
      </c>
      <c r="D100" s="35">
        <v>9.7999999999999997E-3</v>
      </c>
      <c r="E100" s="24">
        <f>709.7057936199*1.133*1.11*1.015*1.01*1.015*1.0015*1.015</f>
        <v>944.06455732427321</v>
      </c>
      <c r="F100" s="71"/>
      <c r="G100" s="73"/>
    </row>
    <row r="101" spans="1:7" ht="34.5" customHeight="1">
      <c r="A101" s="25">
        <f t="shared" si="1"/>
        <v>23</v>
      </c>
      <c r="B101" s="26" t="s">
        <v>33</v>
      </c>
      <c r="C101" s="25" t="s">
        <v>31</v>
      </c>
      <c r="D101" s="30">
        <v>0.5</v>
      </c>
      <c r="E101" s="24">
        <f>4.5977294223*1.133*1.11*1.015*1.01*1.015*1.0015*1.015</f>
        <v>6.115989795745028</v>
      </c>
      <c r="F101" s="71"/>
      <c r="G101" s="73"/>
    </row>
    <row r="102" spans="1:7" ht="34.5" customHeight="1">
      <c r="A102" s="25">
        <f t="shared" si="1"/>
        <v>24</v>
      </c>
      <c r="B102" s="36" t="s">
        <v>34</v>
      </c>
      <c r="C102" s="29" t="s">
        <v>146</v>
      </c>
      <c r="D102" s="34">
        <v>2.1999999999999999E-2</v>
      </c>
      <c r="E102" s="24">
        <f>110.80963199571*1.133*1.11*1.015*1.01*1.015*1.0015*1.015</f>
        <v>147.40114441467102</v>
      </c>
      <c r="F102" s="71"/>
      <c r="G102" s="73"/>
    </row>
    <row r="103" spans="1:7" ht="25.5" customHeight="1">
      <c r="A103" s="25">
        <f t="shared" si="1"/>
        <v>25</v>
      </c>
      <c r="B103" s="26" t="s">
        <v>35</v>
      </c>
      <c r="C103" s="25" t="s">
        <v>36</v>
      </c>
      <c r="D103" s="27">
        <v>3</v>
      </c>
      <c r="E103" s="24">
        <f>6.660363075*1.133*1.11*1.015*1.01*1.015*1.0015*1.015</f>
        <v>8.8597455093996338</v>
      </c>
      <c r="F103" s="71"/>
      <c r="G103" s="73"/>
    </row>
    <row r="104" spans="1:7" ht="25.5" customHeight="1">
      <c r="A104" s="25">
        <f t="shared" si="1"/>
        <v>26</v>
      </c>
      <c r="B104" s="26" t="s">
        <v>37</v>
      </c>
      <c r="C104" s="29" t="s">
        <v>36</v>
      </c>
      <c r="D104" s="31">
        <v>5</v>
      </c>
      <c r="E104" s="24">
        <f>6.008197545*1.133*1.11*1.015*1.01*1.015*1.0015*1.015</f>
        <v>7.992222138565567</v>
      </c>
      <c r="F104" s="71"/>
      <c r="G104" s="73"/>
    </row>
    <row r="105" spans="1:7" ht="25.5" customHeight="1">
      <c r="A105" s="25">
        <f t="shared" si="1"/>
        <v>27</v>
      </c>
      <c r="B105" s="26" t="s">
        <v>38</v>
      </c>
      <c r="C105" s="29" t="s">
        <v>36</v>
      </c>
      <c r="D105" s="31">
        <v>5</v>
      </c>
      <c r="E105" s="24">
        <f>1.773293256*1.133*1.11*1.015*1.01*1.015*1.0015*1.015</f>
        <v>2.3588694467222648</v>
      </c>
      <c r="F105" s="71"/>
      <c r="G105" s="73"/>
    </row>
    <row r="106" spans="1:7" ht="25.5" customHeight="1">
      <c r="A106" s="25">
        <f t="shared" si="1"/>
        <v>28</v>
      </c>
      <c r="B106" s="26" t="s">
        <v>39</v>
      </c>
      <c r="C106" s="25" t="s">
        <v>36</v>
      </c>
      <c r="D106" s="31">
        <v>5</v>
      </c>
      <c r="E106" s="24">
        <f>0.758316195*1.133*1.11*1.015*1.01*1.015*1.0015*1.015</f>
        <v>1.0087270660325476</v>
      </c>
      <c r="F106" s="71"/>
      <c r="G106" s="73"/>
    </row>
    <row r="107" spans="1:7" ht="25.5" customHeight="1">
      <c r="A107" s="25">
        <f t="shared" si="1"/>
        <v>29</v>
      </c>
      <c r="B107" s="32" t="s">
        <v>40</v>
      </c>
      <c r="C107" s="27" t="s">
        <v>36</v>
      </c>
      <c r="D107" s="27">
        <v>2</v>
      </c>
      <c r="E107" s="24">
        <f>28.75201717*1.133*1.11*1.015*1.01*1.015*1.0015*1.015</f>
        <v>38.246496795985628</v>
      </c>
      <c r="F107" s="71"/>
      <c r="G107" s="73"/>
    </row>
    <row r="108" spans="1:7" ht="25.5" customHeight="1">
      <c r="A108" s="25">
        <f t="shared" si="1"/>
        <v>30</v>
      </c>
      <c r="B108" s="32" t="s">
        <v>41</v>
      </c>
      <c r="C108" s="27" t="s">
        <v>36</v>
      </c>
      <c r="D108" s="27">
        <v>1</v>
      </c>
      <c r="E108" s="24">
        <f>18.312781289*1.133*1.11*1.015*1.01*1.015*1.0015*1.015</f>
        <v>24.36002061191466</v>
      </c>
      <c r="F108" s="71"/>
      <c r="G108" s="73"/>
    </row>
    <row r="109" spans="1:7" ht="25.5" customHeight="1">
      <c r="A109" s="25">
        <f t="shared" si="1"/>
        <v>31</v>
      </c>
      <c r="B109" s="37" t="s">
        <v>42</v>
      </c>
      <c r="C109" s="29" t="s">
        <v>36</v>
      </c>
      <c r="D109" s="38">
        <v>1</v>
      </c>
      <c r="E109" s="24">
        <f>2.041620525*1.133*1.11*1.015*1.01*1.015*1.0015*1.015</f>
        <v>2.7158036393183966</v>
      </c>
      <c r="F109" s="71"/>
      <c r="G109" s="73"/>
    </row>
    <row r="110" spans="1:7" ht="34.5" customHeight="1">
      <c r="A110" s="25">
        <f t="shared" si="1"/>
        <v>32</v>
      </c>
      <c r="B110" s="33" t="s">
        <v>43</v>
      </c>
      <c r="C110" s="34" t="s">
        <v>31</v>
      </c>
      <c r="D110" s="39">
        <v>3</v>
      </c>
      <c r="E110" s="24">
        <f>6.57150091936*1.133*1.11*1.015*1.01*1.015*1.0015*1.015</f>
        <v>8.7415393282167742</v>
      </c>
      <c r="F110" s="71"/>
      <c r="G110" s="73"/>
    </row>
    <row r="111" spans="1:7" ht="25.5" customHeight="1">
      <c r="A111" s="25">
        <f t="shared" si="1"/>
        <v>33</v>
      </c>
      <c r="B111" s="32" t="s">
        <v>44</v>
      </c>
      <c r="C111" s="27" t="s">
        <v>36</v>
      </c>
      <c r="D111" s="31">
        <v>90</v>
      </c>
      <c r="E111" s="24">
        <f>0.153667964*1.133*1.11*1.015*1.01*1.015*1.0015*1.015</f>
        <v>0.20441213769529884</v>
      </c>
      <c r="F111" s="71"/>
      <c r="G111" s="73"/>
    </row>
    <row r="112" spans="1:7" ht="29.25" customHeight="1">
      <c r="A112" s="25"/>
      <c r="B112" s="63" t="s">
        <v>47</v>
      </c>
      <c r="C112" s="64"/>
      <c r="D112" s="65"/>
      <c r="E112" s="24"/>
      <c r="F112" s="71"/>
      <c r="G112" s="74">
        <v>5</v>
      </c>
    </row>
    <row r="113" spans="1:7" ht="24" customHeight="1">
      <c r="A113" s="25"/>
      <c r="B113" s="21" t="s">
        <v>48</v>
      </c>
      <c r="C113" s="22"/>
      <c r="D113" s="22"/>
      <c r="E113" s="24"/>
      <c r="F113" s="71"/>
      <c r="G113" s="73"/>
    </row>
    <row r="114" spans="1:7" ht="34.5" customHeight="1">
      <c r="A114" s="25">
        <f t="shared" si="1"/>
        <v>1</v>
      </c>
      <c r="B114" s="26" t="s">
        <v>151</v>
      </c>
      <c r="C114" s="25" t="s">
        <v>141</v>
      </c>
      <c r="D114" s="27">
        <v>3.7999999999999999E-2</v>
      </c>
      <c r="E114" s="24">
        <f>583.4650438*1.133*1.11*1.015*1.01*1.015*1.0015*1.015</f>
        <v>776.136637520877</v>
      </c>
      <c r="F114" s="71"/>
      <c r="G114" s="73"/>
    </row>
    <row r="115" spans="1:7" ht="34.5" customHeight="1">
      <c r="A115" s="25">
        <f t="shared" si="1"/>
        <v>2</v>
      </c>
      <c r="B115" s="26" t="s">
        <v>152</v>
      </c>
      <c r="C115" s="25" t="s">
        <v>141</v>
      </c>
      <c r="D115" s="28">
        <v>8.1000000000000003E-2</v>
      </c>
      <c r="E115" s="24">
        <f>757.490756*1.133*1.11*1.015*1.01*1.015*1.0015*1.015</f>
        <v>1007.6290508956573</v>
      </c>
      <c r="F115" s="71"/>
      <c r="G115" s="73"/>
    </row>
    <row r="116" spans="1:7" ht="34.5" customHeight="1">
      <c r="A116" s="25">
        <f t="shared" si="1"/>
        <v>3</v>
      </c>
      <c r="B116" s="26" t="s">
        <v>153</v>
      </c>
      <c r="C116" s="25" t="s">
        <v>138</v>
      </c>
      <c r="D116" s="27">
        <v>13</v>
      </c>
      <c r="E116" s="24">
        <f>2.442022*1.133*1.11*1.015*1.01*1.015*1.0015*1.015</f>
        <v>3.2484255294678674</v>
      </c>
      <c r="F116" s="71"/>
      <c r="G116" s="73"/>
    </row>
    <row r="117" spans="1:7" ht="24" customHeight="1">
      <c r="A117" s="25">
        <f t="shared" si="1"/>
        <v>4</v>
      </c>
      <c r="B117" s="26" t="s">
        <v>49</v>
      </c>
      <c r="C117" s="25" t="s">
        <v>138</v>
      </c>
      <c r="D117" s="27">
        <v>11</v>
      </c>
      <c r="E117" s="24">
        <f>7.10903512*1.133*1.11*1.015*1.01*1.015*1.0015*1.015</f>
        <v>9.4565778578946738</v>
      </c>
      <c r="F117" s="71"/>
      <c r="G117" s="73"/>
    </row>
    <row r="118" spans="1:7" ht="24" customHeight="1">
      <c r="A118" s="25">
        <f t="shared" si="1"/>
        <v>5</v>
      </c>
      <c r="B118" s="26" t="s">
        <v>50</v>
      </c>
      <c r="C118" s="25" t="s">
        <v>138</v>
      </c>
      <c r="D118" s="27">
        <v>20</v>
      </c>
      <c r="E118" s="24">
        <f>5.97547832*1.133*1.11*1.015*1.01*1.015*1.0015*1.015</f>
        <v>7.9486983841545085</v>
      </c>
      <c r="F118" s="71"/>
      <c r="G118" s="73"/>
    </row>
    <row r="119" spans="1:7" ht="24" customHeight="1">
      <c r="A119" s="25">
        <f t="shared" si="1"/>
        <v>6</v>
      </c>
      <c r="B119" s="26" t="s">
        <v>51</v>
      </c>
      <c r="C119" s="25" t="s">
        <v>141</v>
      </c>
      <c r="D119" s="28">
        <v>0.09</v>
      </c>
      <c r="E119" s="24">
        <f>81.769*1.133*1.11*1.015*1.01*1.015*1.0015*1.015</f>
        <v>108.77072652050556</v>
      </c>
      <c r="F119" s="71"/>
      <c r="G119" s="73"/>
    </row>
    <row r="120" spans="1:7" ht="24" customHeight="1">
      <c r="A120" s="25">
        <f t="shared" si="1"/>
        <v>7</v>
      </c>
      <c r="B120" s="26" t="s">
        <v>52</v>
      </c>
      <c r="C120" s="27" t="s">
        <v>138</v>
      </c>
      <c r="D120" s="31">
        <v>11</v>
      </c>
      <c r="E120" s="24">
        <f>1.2432112*1.133*1.11*1.015*1.01*1.015*1.0015*1.015</f>
        <v>1.6537439059109142</v>
      </c>
      <c r="F120" s="71"/>
      <c r="G120" s="73"/>
    </row>
    <row r="121" spans="1:7" ht="24" customHeight="1">
      <c r="A121" s="25">
        <f t="shared" si="1"/>
        <v>8</v>
      </c>
      <c r="B121" s="26" t="s">
        <v>53</v>
      </c>
      <c r="C121" s="27" t="s">
        <v>138</v>
      </c>
      <c r="D121" s="31">
        <v>31</v>
      </c>
      <c r="E121" s="24">
        <f>1.2432112*1.133*1.11*1.015*1.01*1.015*1.0015*1.015</f>
        <v>1.6537439059109142</v>
      </c>
      <c r="F121" s="71"/>
      <c r="G121" s="73"/>
    </row>
    <row r="122" spans="1:7" ht="34.5" customHeight="1">
      <c r="A122" s="25">
        <f t="shared" si="1"/>
        <v>9</v>
      </c>
      <c r="B122" s="26" t="s">
        <v>54</v>
      </c>
      <c r="C122" s="25" t="s">
        <v>31</v>
      </c>
      <c r="D122" s="27">
        <v>115</v>
      </c>
      <c r="E122" s="24">
        <f>3.280632475974*1.133*1.11*1.015*1.01*1.015*1.0015*1.015</f>
        <v>4.3639616218671753</v>
      </c>
      <c r="F122" s="71"/>
      <c r="G122" s="73"/>
    </row>
    <row r="123" spans="1:7" ht="34.5" customHeight="1">
      <c r="A123" s="25">
        <f t="shared" si="1"/>
        <v>10</v>
      </c>
      <c r="B123" s="26" t="s">
        <v>55</v>
      </c>
      <c r="C123" s="25" t="s">
        <v>31</v>
      </c>
      <c r="D123" s="27">
        <v>54</v>
      </c>
      <c r="E123" s="24">
        <f>2.317955899623*1.133*1.11*1.015*1.01*1.015*1.0015*1.015</f>
        <v>3.0833903709778245</v>
      </c>
      <c r="F123" s="71"/>
      <c r="G123" s="73"/>
    </row>
    <row r="124" spans="1:7" ht="24" customHeight="1">
      <c r="A124" s="25">
        <f t="shared" si="1"/>
        <v>11</v>
      </c>
      <c r="B124" s="32" t="s">
        <v>56</v>
      </c>
      <c r="C124" s="27" t="s">
        <v>31</v>
      </c>
      <c r="D124" s="27">
        <v>169</v>
      </c>
      <c r="E124" s="24">
        <f>0.084799507994*1.133*1.11*1.015*1.01*1.015*1.0015*1.015</f>
        <v>0.11280196765386395</v>
      </c>
      <c r="F124" s="71"/>
      <c r="G124" s="73"/>
    </row>
    <row r="125" spans="1:7" ht="34.5" customHeight="1">
      <c r="A125" s="25">
        <f t="shared" si="1"/>
        <v>12</v>
      </c>
      <c r="B125" s="26" t="s">
        <v>57</v>
      </c>
      <c r="C125" s="25" t="s">
        <v>36</v>
      </c>
      <c r="D125" s="27">
        <v>1</v>
      </c>
      <c r="E125" s="24">
        <f>8.62334105*1.133*1.11*1.015*1.01*1.015*1.0015*1.015</f>
        <v>11.470937287267784</v>
      </c>
      <c r="F125" s="71"/>
      <c r="G125" s="73"/>
    </row>
    <row r="126" spans="1:7" ht="24" customHeight="1">
      <c r="A126" s="25">
        <f t="shared" si="1"/>
        <v>13</v>
      </c>
      <c r="B126" s="26" t="s">
        <v>58</v>
      </c>
      <c r="C126" s="29" t="s">
        <v>36</v>
      </c>
      <c r="D126" s="31">
        <v>1</v>
      </c>
      <c r="E126" s="24">
        <f>6.41652165*1.133*1.11*1.015*1.01*1.015*1.0015*1.015</f>
        <v>8.5353828664292468</v>
      </c>
      <c r="F126" s="71"/>
      <c r="G126" s="73"/>
    </row>
    <row r="127" spans="1:7" ht="24" customHeight="1">
      <c r="A127" s="25">
        <f t="shared" si="1"/>
        <v>14</v>
      </c>
      <c r="B127" s="26" t="s">
        <v>59</v>
      </c>
      <c r="C127" s="29" t="s">
        <v>36</v>
      </c>
      <c r="D127" s="31">
        <v>1</v>
      </c>
      <c r="E127" s="24">
        <f>1.773293256*1.133*1.11*1.015*1.01*1.015*1.0015*1.015</f>
        <v>2.3588694467222648</v>
      </c>
      <c r="F127" s="71"/>
      <c r="G127" s="73"/>
    </row>
    <row r="128" spans="1:7" ht="24" customHeight="1">
      <c r="A128" s="25">
        <f t="shared" si="1"/>
        <v>15</v>
      </c>
      <c r="B128" s="26" t="s">
        <v>60</v>
      </c>
      <c r="C128" s="29" t="s">
        <v>36</v>
      </c>
      <c r="D128" s="31">
        <v>1</v>
      </c>
      <c r="E128" s="24">
        <f>0.758316195*1.133*1.11*1.015*1.01*1.015*1.0015*1.015</f>
        <v>1.0087270660325476</v>
      </c>
      <c r="F128" s="71"/>
      <c r="G128" s="73"/>
    </row>
    <row r="129" spans="1:7" ht="24" customHeight="1">
      <c r="A129" s="25">
        <f t="shared" si="1"/>
        <v>16</v>
      </c>
      <c r="B129" s="26" t="s">
        <v>61</v>
      </c>
      <c r="C129" s="25" t="s">
        <v>36</v>
      </c>
      <c r="D129" s="27">
        <v>5</v>
      </c>
      <c r="E129" s="24">
        <f>1.00670938*1.133*1.11*1.015*1.01*1.015*1.0015*1.015</f>
        <v>1.3391445493721057</v>
      </c>
      <c r="F129" s="71"/>
      <c r="G129" s="73"/>
    </row>
    <row r="130" spans="1:7" ht="34.5" customHeight="1">
      <c r="A130" s="25">
        <f t="shared" si="1"/>
        <v>17</v>
      </c>
      <c r="B130" s="26" t="s">
        <v>62</v>
      </c>
      <c r="C130" s="25" t="s">
        <v>36</v>
      </c>
      <c r="D130" s="31">
        <v>2</v>
      </c>
      <c r="E130" s="24">
        <f>7.7044925412*1.133*1.11*1.015*1.01*1.015*1.0015*1.015</f>
        <v>10.248666990890682</v>
      </c>
      <c r="F130" s="71"/>
      <c r="G130" s="73"/>
    </row>
    <row r="131" spans="1:7" ht="24" customHeight="1">
      <c r="A131" s="25">
        <f t="shared" si="1"/>
        <v>18</v>
      </c>
      <c r="B131" s="26" t="s">
        <v>63</v>
      </c>
      <c r="C131" s="25" t="s">
        <v>36</v>
      </c>
      <c r="D131" s="31">
        <v>1</v>
      </c>
      <c r="E131" s="24">
        <f>2.6879392512*1.133*1.11*1.015*1.01*1.015*1.0015*1.015</f>
        <v>3.575549477136907</v>
      </c>
      <c r="F131" s="71"/>
      <c r="G131" s="73"/>
    </row>
    <row r="132" spans="1:7" ht="34.5" customHeight="1">
      <c r="A132" s="25">
        <f t="shared" si="1"/>
        <v>19</v>
      </c>
      <c r="B132" s="26" t="s">
        <v>154</v>
      </c>
      <c r="C132" s="25" t="s">
        <v>36</v>
      </c>
      <c r="D132" s="31">
        <v>1</v>
      </c>
      <c r="E132" s="24">
        <f>3.73324896*1.133*1.11*1.015*1.01*1.015*1.0015*1.015</f>
        <v>4.9660409404679253</v>
      </c>
      <c r="F132" s="71"/>
      <c r="G132" s="73"/>
    </row>
    <row r="133" spans="1:7" ht="34.5" customHeight="1">
      <c r="A133" s="25">
        <f t="shared" si="1"/>
        <v>20</v>
      </c>
      <c r="B133" s="26" t="s">
        <v>64</v>
      </c>
      <c r="C133" s="25" t="s">
        <v>65</v>
      </c>
      <c r="D133" s="30">
        <v>0.7</v>
      </c>
      <c r="E133" s="24">
        <f>0.70966729449*1.133*1.11*1.015*1.01*1.015*1.0015*1.015</f>
        <v>0.94401334502707457</v>
      </c>
      <c r="F133" s="71"/>
      <c r="G133" s="73"/>
    </row>
    <row r="134" spans="1:7" ht="24" customHeight="1">
      <c r="A134" s="25"/>
      <c r="B134" s="40" t="s">
        <v>66</v>
      </c>
      <c r="C134" s="41"/>
      <c r="D134" s="42"/>
      <c r="E134" s="24"/>
      <c r="F134" s="71"/>
      <c r="G134" s="74">
        <v>3.46</v>
      </c>
    </row>
    <row r="135" spans="1:7" ht="34.5" customHeight="1">
      <c r="A135" s="25">
        <f t="shared" si="1"/>
        <v>1</v>
      </c>
      <c r="B135" s="26" t="s">
        <v>151</v>
      </c>
      <c r="C135" s="25" t="s">
        <v>141</v>
      </c>
      <c r="D135" s="28">
        <v>0.9</v>
      </c>
      <c r="E135" s="24">
        <f>583.4650438*1.133*1.11*1.015*1.01*1.015*1.0015*1.015</f>
        <v>776.136637520877</v>
      </c>
      <c r="F135" s="71"/>
      <c r="G135" s="73"/>
    </row>
    <row r="136" spans="1:7" ht="34.5" customHeight="1">
      <c r="A136" s="25">
        <f t="shared" si="1"/>
        <v>2</v>
      </c>
      <c r="B136" s="26" t="s">
        <v>152</v>
      </c>
      <c r="C136" s="25" t="s">
        <v>141</v>
      </c>
      <c r="D136" s="28">
        <v>1.5449999999999999</v>
      </c>
      <c r="E136" s="24">
        <f>757.490756*1.133*1.11*1.015*1.01*1.015*1.0015*1.015</f>
        <v>1007.6290508956573</v>
      </c>
      <c r="F136" s="71"/>
      <c r="G136" s="73"/>
    </row>
    <row r="137" spans="1:7" ht="34.5" customHeight="1">
      <c r="A137" s="25">
        <f t="shared" si="1"/>
        <v>3</v>
      </c>
      <c r="B137" s="26" t="s">
        <v>153</v>
      </c>
      <c r="C137" s="25" t="s">
        <v>138</v>
      </c>
      <c r="D137" s="27">
        <v>102</v>
      </c>
      <c r="E137" s="24">
        <f>2.442022*1.133*1.11*1.015*1.01*1.015*1.0015*1.015</f>
        <v>3.2484255294678674</v>
      </c>
      <c r="F137" s="71"/>
      <c r="G137" s="73"/>
    </row>
    <row r="138" spans="1:7" ht="24" customHeight="1">
      <c r="A138" s="25">
        <f t="shared" si="1"/>
        <v>4</v>
      </c>
      <c r="B138" s="26" t="s">
        <v>49</v>
      </c>
      <c r="C138" s="25" t="s">
        <v>138</v>
      </c>
      <c r="D138" s="27">
        <v>198</v>
      </c>
      <c r="E138" s="24">
        <f>7.10903512*1.133*1.11*1.015*1.01*1.015*1.0015*1.015</f>
        <v>9.4565778578946738</v>
      </c>
      <c r="F138" s="71"/>
      <c r="G138" s="73"/>
    </row>
    <row r="139" spans="1:7" ht="24" customHeight="1">
      <c r="A139" s="25">
        <f t="shared" si="1"/>
        <v>5</v>
      </c>
      <c r="B139" s="26" t="s">
        <v>50</v>
      </c>
      <c r="C139" s="25" t="s">
        <v>138</v>
      </c>
      <c r="D139" s="27">
        <v>325</v>
      </c>
      <c r="E139" s="24">
        <f>5.97547832*1.133*1.11*1.015*1.01*1.015*1.0015*1.015</f>
        <v>7.9486983841545085</v>
      </c>
      <c r="F139" s="71"/>
      <c r="G139" s="73"/>
    </row>
    <row r="140" spans="1:7" ht="24" customHeight="1">
      <c r="A140" s="25">
        <f t="shared" si="1"/>
        <v>6</v>
      </c>
      <c r="B140" s="26" t="s">
        <v>51</v>
      </c>
      <c r="C140" s="25" t="s">
        <v>141</v>
      </c>
      <c r="D140" s="28">
        <v>1.8220000000000001</v>
      </c>
      <c r="E140" s="24">
        <f>81.769*1.133*1.11*1.015*1.01*1.015*1.0015*1.015</f>
        <v>108.77072652050556</v>
      </c>
      <c r="F140" s="71"/>
      <c r="G140" s="73"/>
    </row>
    <row r="141" spans="1:7" ht="24" customHeight="1">
      <c r="A141" s="25">
        <f t="shared" ref="A141:A204" si="2">A140+1</f>
        <v>7</v>
      </c>
      <c r="B141" s="26" t="s">
        <v>52</v>
      </c>
      <c r="C141" s="27" t="s">
        <v>138</v>
      </c>
      <c r="D141" s="31">
        <v>202</v>
      </c>
      <c r="E141" s="24">
        <f>1.2432112*1.133*1.11*1.015*1.01*1.015*1.0015*1.015</f>
        <v>1.6537439059109142</v>
      </c>
      <c r="F141" s="71"/>
      <c r="G141" s="73"/>
    </row>
    <row r="142" spans="1:7" ht="24" customHeight="1">
      <c r="A142" s="25">
        <f t="shared" si="2"/>
        <v>8</v>
      </c>
      <c r="B142" s="26" t="s">
        <v>53</v>
      </c>
      <c r="C142" s="27" t="s">
        <v>138</v>
      </c>
      <c r="D142" s="31">
        <v>523</v>
      </c>
      <c r="E142" s="24">
        <f>1.2432112*1.133*1.11*1.015*1.01*1.015*1.0015*1.015</f>
        <v>1.6537439059109142</v>
      </c>
      <c r="F142" s="71"/>
      <c r="G142" s="73"/>
    </row>
    <row r="143" spans="1:7" ht="34.5" customHeight="1">
      <c r="A143" s="25">
        <f t="shared" si="2"/>
        <v>9</v>
      </c>
      <c r="B143" s="26" t="s">
        <v>54</v>
      </c>
      <c r="C143" s="25" t="s">
        <v>31</v>
      </c>
      <c r="D143" s="27">
        <v>3300</v>
      </c>
      <c r="E143" s="24">
        <f>3.280632475974*1.133*1.11*1.015*1.01*1.015*1.0015*1.01453763</f>
        <v>4.3619736761183061</v>
      </c>
      <c r="F143" s="71"/>
      <c r="G143" s="75"/>
    </row>
    <row r="144" spans="1:7" ht="24" customHeight="1">
      <c r="A144" s="25">
        <f t="shared" si="2"/>
        <v>10</v>
      </c>
      <c r="B144" s="32" t="s">
        <v>56</v>
      </c>
      <c r="C144" s="27" t="s">
        <v>31</v>
      </c>
      <c r="D144" s="27">
        <v>3300</v>
      </c>
      <c r="E144" s="24">
        <f>0.084799507994*1.133*1.11*1.015*1.01*1.015*1.0015*1.015</f>
        <v>0.11280196765386395</v>
      </c>
      <c r="F144" s="71"/>
      <c r="G144" s="73"/>
    </row>
    <row r="145" spans="1:7" s="44" customFormat="1" ht="34.5" customHeight="1">
      <c r="A145" s="25">
        <f t="shared" si="2"/>
        <v>11</v>
      </c>
      <c r="B145" s="26" t="s">
        <v>57</v>
      </c>
      <c r="C145" s="25" t="s">
        <v>36</v>
      </c>
      <c r="D145" s="27">
        <v>18</v>
      </c>
      <c r="E145" s="24">
        <f>8.62334105*1.133*1.11*1.015*1.01*1.015*1.0015*1.015</f>
        <v>11.470937287267784</v>
      </c>
      <c r="F145" s="71"/>
      <c r="G145" s="25"/>
    </row>
    <row r="146" spans="1:7" s="44" customFormat="1" ht="24" customHeight="1">
      <c r="A146" s="25">
        <f t="shared" si="2"/>
        <v>12</v>
      </c>
      <c r="B146" s="26" t="s">
        <v>58</v>
      </c>
      <c r="C146" s="29" t="s">
        <v>36</v>
      </c>
      <c r="D146" s="31">
        <v>18</v>
      </c>
      <c r="E146" s="24">
        <f>6.41652165*1.133*1.11*1.015*1.01*1.015*1.0015*1.015</f>
        <v>8.5353828664292468</v>
      </c>
      <c r="F146" s="71"/>
      <c r="G146" s="25"/>
    </row>
    <row r="147" spans="1:7" s="44" customFormat="1" ht="24" customHeight="1">
      <c r="A147" s="25">
        <f t="shared" si="2"/>
        <v>13</v>
      </c>
      <c r="B147" s="26" t="s">
        <v>59</v>
      </c>
      <c r="C147" s="29" t="s">
        <v>36</v>
      </c>
      <c r="D147" s="31">
        <v>18</v>
      </c>
      <c r="E147" s="24">
        <f>1.773293256*1.133*1.11*1.015*1.01*1.015*1.0015*1.015</f>
        <v>2.3588694467222648</v>
      </c>
      <c r="F147" s="71"/>
      <c r="G147" s="25"/>
    </row>
    <row r="148" spans="1:7" s="44" customFormat="1" ht="24" customHeight="1">
      <c r="A148" s="25">
        <f t="shared" si="2"/>
        <v>14</v>
      </c>
      <c r="B148" s="26" t="s">
        <v>60</v>
      </c>
      <c r="C148" s="29" t="s">
        <v>36</v>
      </c>
      <c r="D148" s="31">
        <v>18</v>
      </c>
      <c r="E148" s="24">
        <f>0.758316195*1.133*1.11*1.015*1.01*1.015*1.0015*1.015</f>
        <v>1.0087270660325476</v>
      </c>
      <c r="F148" s="71"/>
      <c r="G148" s="25"/>
    </row>
    <row r="149" spans="1:7" s="44" customFormat="1" ht="24" customHeight="1">
      <c r="A149" s="25">
        <f t="shared" si="2"/>
        <v>15</v>
      </c>
      <c r="B149" s="26" t="s">
        <v>61</v>
      </c>
      <c r="C149" s="25" t="s">
        <v>36</v>
      </c>
      <c r="D149" s="27">
        <v>4</v>
      </c>
      <c r="E149" s="24">
        <f>1.00670938*1.133*1.11*1.015*1.01*1.015*1.0015*1.015</f>
        <v>1.3391445493721057</v>
      </c>
      <c r="F149" s="71"/>
      <c r="G149" s="75"/>
    </row>
    <row r="150" spans="1:7" s="44" customFormat="1" ht="34.5" customHeight="1">
      <c r="A150" s="25">
        <f t="shared" si="2"/>
        <v>16</v>
      </c>
      <c r="B150" s="26" t="s">
        <v>154</v>
      </c>
      <c r="C150" s="25" t="s">
        <v>36</v>
      </c>
      <c r="D150" s="31">
        <v>4</v>
      </c>
      <c r="E150" s="24">
        <f>3.73324896*1.133*1.11*1.015*1.01*1.015*1.0015*1.015</f>
        <v>4.9660409404679253</v>
      </c>
      <c r="F150" s="71"/>
      <c r="G150" s="25"/>
    </row>
    <row r="151" spans="1:7" s="44" customFormat="1" ht="29.25" customHeight="1">
      <c r="A151" s="25"/>
      <c r="B151" s="63" t="s">
        <v>67</v>
      </c>
      <c r="C151" s="64"/>
      <c r="D151" s="65"/>
      <c r="E151" s="24"/>
      <c r="F151" s="71"/>
      <c r="G151" s="76">
        <v>66</v>
      </c>
    </row>
    <row r="152" spans="1:7" s="44" customFormat="1" ht="29.25" customHeight="1">
      <c r="A152" s="25"/>
      <c r="B152" s="21" t="s">
        <v>68</v>
      </c>
      <c r="C152" s="22"/>
      <c r="D152" s="22"/>
      <c r="E152" s="24"/>
      <c r="F152" s="71"/>
      <c r="G152" s="25"/>
    </row>
    <row r="153" spans="1:7" s="44" customFormat="1" ht="34.5" customHeight="1">
      <c r="A153" s="25">
        <f t="shared" si="2"/>
        <v>1</v>
      </c>
      <c r="B153" s="32" t="s">
        <v>69</v>
      </c>
      <c r="C153" s="25" t="s">
        <v>138</v>
      </c>
      <c r="D153" s="27">
        <v>0.3</v>
      </c>
      <c r="E153" s="24">
        <f>37.073945791098*1.133*1.11*1.015*1.01*1.015*1.0015*1.015</f>
        <v>49.316489362467053</v>
      </c>
      <c r="F153" s="71"/>
      <c r="G153" s="25"/>
    </row>
    <row r="154" spans="1:7" s="44" customFormat="1" ht="24" customHeight="1">
      <c r="A154" s="25">
        <f t="shared" si="2"/>
        <v>2</v>
      </c>
      <c r="B154" s="26" t="s">
        <v>19</v>
      </c>
      <c r="C154" s="29" t="s">
        <v>145</v>
      </c>
      <c r="D154" s="31">
        <v>22</v>
      </c>
      <c r="E154" s="24">
        <f>0.9239791176*1.133*1.11*1.015*1.01*1.015*1.0015*1.015</f>
        <v>1.2290951327658111</v>
      </c>
      <c r="F154" s="71"/>
      <c r="G154" s="25"/>
    </row>
    <row r="155" spans="1:7" s="44" customFormat="1" ht="24" customHeight="1">
      <c r="A155" s="25">
        <f t="shared" si="2"/>
        <v>3</v>
      </c>
      <c r="B155" s="46" t="s">
        <v>70</v>
      </c>
      <c r="C155" s="47" t="s">
        <v>146</v>
      </c>
      <c r="D155" s="48">
        <v>0.16</v>
      </c>
      <c r="E155" s="24">
        <f>193.740094757712*1.133*1.11*1.015*1.01*1.015*1.0015*1.015</f>
        <v>257.71687146654506</v>
      </c>
      <c r="F155" s="71"/>
      <c r="G155" s="25"/>
    </row>
    <row r="156" spans="1:7" s="44" customFormat="1" ht="24" customHeight="1">
      <c r="A156" s="25">
        <f t="shared" si="2"/>
        <v>4</v>
      </c>
      <c r="B156" s="26" t="s">
        <v>71</v>
      </c>
      <c r="C156" s="25" t="s">
        <v>36</v>
      </c>
      <c r="D156" s="27">
        <v>1</v>
      </c>
      <c r="E156" s="24">
        <f>0.842261*1.133*1.11*1.015*1.01*1.015*1.0015*1.015</f>
        <v>1.1203920910111111</v>
      </c>
      <c r="F156" s="71"/>
      <c r="G156" s="25"/>
    </row>
    <row r="157" spans="1:7" s="44" customFormat="1" ht="24" customHeight="1">
      <c r="A157" s="25">
        <f t="shared" si="2"/>
        <v>5</v>
      </c>
      <c r="B157" s="26" t="s">
        <v>72</v>
      </c>
      <c r="C157" s="25" t="s">
        <v>29</v>
      </c>
      <c r="D157" s="28">
        <v>0.03</v>
      </c>
      <c r="E157" s="24">
        <f>709.7057936199*1.133*1.11*1.015*1.01*1.015*1.0015*1.015</f>
        <v>944.06455732427321</v>
      </c>
      <c r="F157" s="71"/>
      <c r="G157" s="25"/>
    </row>
    <row r="158" spans="1:7" s="44" customFormat="1" ht="24" customHeight="1">
      <c r="A158" s="25">
        <f t="shared" si="2"/>
        <v>6</v>
      </c>
      <c r="B158" s="26" t="s">
        <v>73</v>
      </c>
      <c r="C158" s="29" t="s">
        <v>36</v>
      </c>
      <c r="D158" s="31">
        <v>1</v>
      </c>
      <c r="E158" s="24">
        <f>4.08324105*1.133*1.11*1.015*1.01*1.015*1.0015*1.015</f>
        <v>5.4316072786367933</v>
      </c>
      <c r="F158" s="71"/>
      <c r="G158" s="25"/>
    </row>
    <row r="159" spans="1:7" s="44" customFormat="1" ht="34.5" customHeight="1">
      <c r="A159" s="25">
        <f t="shared" si="2"/>
        <v>7</v>
      </c>
      <c r="B159" s="26" t="s">
        <v>74</v>
      </c>
      <c r="C159" s="25" t="s">
        <v>146</v>
      </c>
      <c r="D159" s="27">
        <f>0.013</f>
        <v>1.2999999999999999E-2</v>
      </c>
      <c r="E159" s="24">
        <f>110.80963199571*1.133*1.11*1.015*1.01*1.015*1.0015*1.015</f>
        <v>147.40114441467102</v>
      </c>
      <c r="F159" s="71"/>
      <c r="G159" s="25"/>
    </row>
    <row r="160" spans="1:7" s="44" customFormat="1" ht="29.25" customHeight="1">
      <c r="A160" s="25"/>
      <c r="B160" s="49" t="s">
        <v>75</v>
      </c>
      <c r="C160" s="25"/>
      <c r="D160" s="27"/>
      <c r="E160" s="24"/>
      <c r="F160" s="71"/>
      <c r="G160" s="50"/>
    </row>
    <row r="161" spans="1:7" s="44" customFormat="1" ht="34.5" customHeight="1">
      <c r="A161" s="25">
        <f>A159+1</f>
        <v>8</v>
      </c>
      <c r="B161" s="26" t="s">
        <v>152</v>
      </c>
      <c r="C161" s="25" t="s">
        <v>141</v>
      </c>
      <c r="D161" s="28">
        <v>8.9999999999999993E-3</v>
      </c>
      <c r="E161" s="24">
        <f>757.490756*1.133*1.11*1.015*1.01*1.015*1.0015*1.015</f>
        <v>1007.6290508956573</v>
      </c>
      <c r="F161" s="71"/>
      <c r="G161" s="25"/>
    </row>
    <row r="162" spans="1:7" s="44" customFormat="1" ht="34.5" customHeight="1">
      <c r="A162" s="25">
        <f t="shared" si="2"/>
        <v>9</v>
      </c>
      <c r="B162" s="26" t="s">
        <v>153</v>
      </c>
      <c r="C162" s="25" t="s">
        <v>138</v>
      </c>
      <c r="D162" s="27">
        <v>1</v>
      </c>
      <c r="E162" s="24">
        <f>2.442022*1.133*1.11*1.015*1.01*1.015*1.0015*1.015</f>
        <v>3.2484255294678674</v>
      </c>
      <c r="F162" s="71"/>
      <c r="G162" s="25"/>
    </row>
    <row r="163" spans="1:7" s="44" customFormat="1" ht="24" customHeight="1">
      <c r="A163" s="25">
        <f t="shared" si="2"/>
        <v>10</v>
      </c>
      <c r="B163" s="26" t="s">
        <v>76</v>
      </c>
      <c r="C163" s="25" t="s">
        <v>31</v>
      </c>
      <c r="D163" s="27">
        <v>12</v>
      </c>
      <c r="E163" s="24">
        <f>10.458917161111*1.133*1.11*1.015*1.01*1.015*1.0015*1.015</f>
        <v>13.912656608639299</v>
      </c>
      <c r="F163" s="71"/>
      <c r="G163" s="25"/>
    </row>
    <row r="164" spans="1:7" s="44" customFormat="1" ht="34.5" customHeight="1">
      <c r="A164" s="25">
        <f t="shared" si="2"/>
        <v>11</v>
      </c>
      <c r="B164" s="37" t="s">
        <v>77</v>
      </c>
      <c r="C164" s="29" t="s">
        <v>145</v>
      </c>
      <c r="D164" s="34">
        <v>6</v>
      </c>
      <c r="E164" s="24">
        <f>3.0175740956881*1.133*1.11*1.015*1.01*1.015*1.0015*1.015</f>
        <v>4.0140362083118566</v>
      </c>
      <c r="F164" s="71"/>
      <c r="G164" s="25"/>
    </row>
    <row r="165" spans="1:7" s="44" customFormat="1" ht="24" customHeight="1">
      <c r="A165" s="25">
        <f t="shared" si="2"/>
        <v>12</v>
      </c>
      <c r="B165" s="26" t="s">
        <v>51</v>
      </c>
      <c r="C165" s="25" t="s">
        <v>141</v>
      </c>
      <c r="D165" s="28">
        <v>8.9999999999999993E-3</v>
      </c>
      <c r="E165" s="24">
        <f>81.769*1.133*1.11*1.015*1.01*1.015*1.0015*1.015</f>
        <v>108.77072652050556</v>
      </c>
      <c r="F165" s="71"/>
      <c r="G165" s="25"/>
    </row>
    <row r="166" spans="1:7" s="44" customFormat="1" ht="24" customHeight="1">
      <c r="A166" s="25">
        <f t="shared" si="2"/>
        <v>13</v>
      </c>
      <c r="B166" s="26" t="s">
        <v>52</v>
      </c>
      <c r="C166" s="27" t="s">
        <v>138</v>
      </c>
      <c r="D166" s="31">
        <v>1</v>
      </c>
      <c r="E166" s="24">
        <f>1.2432112*1.133*1.11*1.015*1.01*1.015*1.0015*1.015</f>
        <v>1.6537439059109142</v>
      </c>
      <c r="F166" s="71"/>
      <c r="G166" s="25"/>
    </row>
    <row r="167" spans="1:7" s="44" customFormat="1" ht="29.25" customHeight="1">
      <c r="A167" s="25"/>
      <c r="B167" s="21" t="s">
        <v>78</v>
      </c>
      <c r="C167" s="27"/>
      <c r="D167" s="31"/>
      <c r="E167" s="24"/>
      <c r="F167" s="71"/>
      <c r="G167" s="76">
        <v>0.9</v>
      </c>
    </row>
    <row r="168" spans="1:7" s="44" customFormat="1" ht="34.5" customHeight="1">
      <c r="A168" s="25">
        <f>A166+1</f>
        <v>14</v>
      </c>
      <c r="B168" s="26" t="s">
        <v>79</v>
      </c>
      <c r="C168" s="25" t="s">
        <v>31</v>
      </c>
      <c r="D168" s="27">
        <v>12</v>
      </c>
      <c r="E168" s="24">
        <f>2.317955899623*1.133*1.11*1.015*1.01*1.015*1.0015*1.015</f>
        <v>3.0833903709778245</v>
      </c>
      <c r="F168" s="71"/>
      <c r="G168" s="25"/>
    </row>
    <row r="169" spans="1:7" s="44" customFormat="1" ht="34.5" customHeight="1">
      <c r="A169" s="25">
        <f t="shared" si="2"/>
        <v>15</v>
      </c>
      <c r="B169" s="26" t="s">
        <v>80</v>
      </c>
      <c r="C169" s="25" t="s">
        <v>36</v>
      </c>
      <c r="D169" s="27">
        <v>6</v>
      </c>
      <c r="E169" s="24">
        <f>7.710339345*1.133*1.11*1.015*1.01*1.015*1.0015*1.015</f>
        <v>10.256444523906238</v>
      </c>
      <c r="F169" s="71"/>
      <c r="G169" s="25"/>
    </row>
    <row r="170" spans="1:7" s="44" customFormat="1" ht="24" customHeight="1">
      <c r="A170" s="25">
        <f t="shared" si="2"/>
        <v>16</v>
      </c>
      <c r="B170" s="26" t="s">
        <v>81</v>
      </c>
      <c r="C170" s="29" t="s">
        <v>36</v>
      </c>
      <c r="D170" s="31">
        <v>6</v>
      </c>
      <c r="E170" s="24">
        <f>1.773293256*1.133*1.11*1.015*1.01*1.015*1.0015*1.015</f>
        <v>2.3588694467222648</v>
      </c>
      <c r="F170" s="71"/>
      <c r="G170" s="25"/>
    </row>
    <row r="171" spans="1:7" s="44" customFormat="1" ht="24" customHeight="1">
      <c r="A171" s="25">
        <f t="shared" si="2"/>
        <v>17</v>
      </c>
      <c r="B171" s="26" t="s">
        <v>82</v>
      </c>
      <c r="C171" s="25" t="s">
        <v>36</v>
      </c>
      <c r="D171" s="31">
        <v>6</v>
      </c>
      <c r="E171" s="24">
        <f>0.991644255*1.133*1.11*1.015*1.01*1.015*1.0015*1.015</f>
        <v>1.3191046248117926</v>
      </c>
      <c r="F171" s="71"/>
      <c r="G171" s="25"/>
    </row>
    <row r="172" spans="1:7" s="44" customFormat="1" ht="24" customHeight="1">
      <c r="A172" s="25">
        <f t="shared" si="2"/>
        <v>18</v>
      </c>
      <c r="B172" s="26" t="s">
        <v>61</v>
      </c>
      <c r="C172" s="25" t="s">
        <v>36</v>
      </c>
      <c r="D172" s="27">
        <v>3</v>
      </c>
      <c r="E172" s="24">
        <f>1.00670938*1.133*1.11*1.015*1.01*1.015*1.0015*1.015</f>
        <v>1.3391445493721057</v>
      </c>
      <c r="F172" s="71"/>
      <c r="G172" s="25"/>
    </row>
    <row r="173" spans="1:7" s="44" customFormat="1" ht="34.5" customHeight="1">
      <c r="A173" s="25">
        <f t="shared" si="2"/>
        <v>19</v>
      </c>
      <c r="B173" s="26" t="s">
        <v>62</v>
      </c>
      <c r="C173" s="25" t="s">
        <v>36</v>
      </c>
      <c r="D173" s="31">
        <v>3</v>
      </c>
      <c r="E173" s="24">
        <f>7.7044925412*1.133*1.11*1.015*1.01*1.015*1.0015*1.015</f>
        <v>10.248666990890682</v>
      </c>
      <c r="F173" s="71"/>
      <c r="G173" s="25"/>
    </row>
    <row r="174" spans="1:7" s="44" customFormat="1" ht="24" customHeight="1">
      <c r="A174" s="25">
        <f t="shared" si="2"/>
        <v>20</v>
      </c>
      <c r="B174" s="32" t="s">
        <v>40</v>
      </c>
      <c r="C174" s="27" t="s">
        <v>36</v>
      </c>
      <c r="D174" s="27">
        <v>3</v>
      </c>
      <c r="E174" s="24">
        <f>28.75201717*1.133*1.11*1.015*1.01*1.015*1.0015*1.015</f>
        <v>38.246496795985628</v>
      </c>
      <c r="F174" s="71"/>
      <c r="G174" s="25"/>
    </row>
    <row r="175" spans="1:7" s="44" customFormat="1" ht="34.5" customHeight="1">
      <c r="A175" s="25">
        <f t="shared" si="2"/>
        <v>21</v>
      </c>
      <c r="B175" s="26" t="s">
        <v>83</v>
      </c>
      <c r="C175" s="25" t="s">
        <v>138</v>
      </c>
      <c r="D175" s="27">
        <v>1.2</v>
      </c>
      <c r="E175" s="24">
        <f>36.3487454*1.133*1.11*1.015*1.01*1.015*1.0015*1.015</f>
        <v>48.351813587874183</v>
      </c>
      <c r="F175" s="71"/>
      <c r="G175" s="25"/>
    </row>
    <row r="176" spans="1:7" s="44" customFormat="1" ht="24" customHeight="1">
      <c r="A176" s="25">
        <f t="shared" si="2"/>
        <v>22</v>
      </c>
      <c r="B176" s="32" t="s">
        <v>84</v>
      </c>
      <c r="C176" s="27" t="s">
        <v>85</v>
      </c>
      <c r="D176" s="27">
        <v>3</v>
      </c>
      <c r="E176" s="24">
        <f>46.665612*1.133*1.11*1.015*1.01*1.015*1.0015*1.015</f>
        <v>62.075511755849071</v>
      </c>
      <c r="F176" s="71"/>
      <c r="G176" s="25"/>
    </row>
    <row r="177" spans="1:7" s="44" customFormat="1" ht="29.25" customHeight="1">
      <c r="A177" s="25"/>
      <c r="B177" s="21" t="s">
        <v>86</v>
      </c>
      <c r="C177" s="27"/>
      <c r="D177" s="27"/>
      <c r="E177" s="24"/>
      <c r="F177" s="71"/>
      <c r="G177" s="76">
        <v>1.43</v>
      </c>
    </row>
    <row r="178" spans="1:7" s="44" customFormat="1" ht="34.5" customHeight="1">
      <c r="A178" s="25">
        <f>A176+1</f>
        <v>23</v>
      </c>
      <c r="B178" s="26" t="s">
        <v>87</v>
      </c>
      <c r="C178" s="25" t="s">
        <v>36</v>
      </c>
      <c r="D178" s="27">
        <v>6</v>
      </c>
      <c r="E178" s="24">
        <f>2.2883181*1.133*1.11*1.015*1.01*1.015*1.0015*1.015</f>
        <v>3.0439655890010018</v>
      </c>
      <c r="F178" s="71"/>
      <c r="G178" s="76"/>
    </row>
    <row r="179" spans="1:7" s="44" customFormat="1" ht="24" customHeight="1">
      <c r="A179" s="25">
        <f t="shared" si="2"/>
        <v>24</v>
      </c>
      <c r="B179" s="26" t="s">
        <v>88</v>
      </c>
      <c r="C179" s="25" t="s">
        <v>36</v>
      </c>
      <c r="D179" s="27">
        <v>6</v>
      </c>
      <c r="E179" s="24">
        <f>11.646476418*1.133*1.11*1.015*1.01*1.015*1.0015*1.015</f>
        <v>15.492371209013138</v>
      </c>
      <c r="F179" s="71"/>
      <c r="G179" s="76"/>
    </row>
    <row r="180" spans="1:7" s="44" customFormat="1" ht="29.25" customHeight="1">
      <c r="A180" s="25"/>
      <c r="B180" s="21" t="s">
        <v>89</v>
      </c>
      <c r="C180" s="25"/>
      <c r="D180" s="27"/>
      <c r="E180" s="24"/>
      <c r="F180" s="71"/>
      <c r="G180" s="76">
        <v>0.31</v>
      </c>
    </row>
    <row r="181" spans="1:7" s="44" customFormat="1" ht="34.5" customHeight="1">
      <c r="A181" s="25">
        <f>A179+1</f>
        <v>25</v>
      </c>
      <c r="B181" s="26" t="s">
        <v>90</v>
      </c>
      <c r="C181" s="25" t="s">
        <v>31</v>
      </c>
      <c r="D181" s="27">
        <v>220</v>
      </c>
      <c r="E181" s="24">
        <f>1.170285170901*1.133*1.11*1.015*1.01*1.015*1.0015*1.015</f>
        <v>1.5567362726103511</v>
      </c>
      <c r="F181" s="71"/>
      <c r="G181" s="25"/>
    </row>
    <row r="182" spans="1:7" s="44" customFormat="1" ht="34.5" customHeight="1">
      <c r="A182" s="25">
        <f t="shared" si="2"/>
        <v>26</v>
      </c>
      <c r="B182" s="32" t="s">
        <v>91</v>
      </c>
      <c r="C182" s="25" t="s">
        <v>138</v>
      </c>
      <c r="D182" s="27">
        <v>1</v>
      </c>
      <c r="E182" s="24">
        <f>37.073945791098*1.133*1.11*1.015*1.01*1.015*1.0015*1.015</f>
        <v>49.316489362467053</v>
      </c>
      <c r="F182" s="71"/>
      <c r="G182" s="25"/>
    </row>
    <row r="183" spans="1:7" s="44" customFormat="1" ht="29.25" customHeight="1">
      <c r="A183" s="25"/>
      <c r="B183" s="63" t="s">
        <v>92</v>
      </c>
      <c r="C183" s="64"/>
      <c r="D183" s="65"/>
      <c r="E183" s="24"/>
      <c r="F183" s="71"/>
      <c r="G183" s="76">
        <v>1.0900000000000001</v>
      </c>
    </row>
    <row r="184" spans="1:7" s="44" customFormat="1" ht="23.25" customHeight="1">
      <c r="A184" s="25"/>
      <c r="B184" s="49" t="s">
        <v>93</v>
      </c>
      <c r="C184" s="50"/>
      <c r="D184" s="50"/>
      <c r="E184" s="24"/>
      <c r="F184" s="71"/>
      <c r="G184" s="76"/>
    </row>
    <row r="185" spans="1:7" s="44" customFormat="1" ht="23.25" customHeight="1">
      <c r="A185" s="25">
        <f t="shared" si="2"/>
        <v>1</v>
      </c>
      <c r="B185" s="26" t="s">
        <v>155</v>
      </c>
      <c r="C185" s="25" t="s">
        <v>138</v>
      </c>
      <c r="D185" s="27">
        <v>10</v>
      </c>
      <c r="E185" s="24">
        <f>2.442022*1.133*1.11*1.015*1.01*1.015*1.0015*1.015</f>
        <v>3.2484255294678674</v>
      </c>
      <c r="F185" s="71"/>
      <c r="G185" s="76"/>
    </row>
    <row r="186" spans="1:7" s="44" customFormat="1" ht="36" customHeight="1">
      <c r="A186" s="25">
        <f t="shared" si="2"/>
        <v>2</v>
      </c>
      <c r="B186" s="26" t="s">
        <v>156</v>
      </c>
      <c r="C186" s="25" t="s">
        <v>138</v>
      </c>
      <c r="D186" s="27">
        <v>2</v>
      </c>
      <c r="E186" s="24">
        <f>8.822980944*1.133*1.11*1.015*1.01*1.015*1.0015*1.015</f>
        <v>11.736502187325954</v>
      </c>
      <c r="F186" s="71"/>
      <c r="G186" s="76"/>
    </row>
    <row r="187" spans="1:7" s="44" customFormat="1" ht="36" customHeight="1">
      <c r="A187" s="25">
        <f t="shared" si="2"/>
        <v>3</v>
      </c>
      <c r="B187" s="26" t="s">
        <v>157</v>
      </c>
      <c r="C187" s="25" t="s">
        <v>138</v>
      </c>
      <c r="D187" s="27">
        <v>0.3</v>
      </c>
      <c r="E187" s="24">
        <f>32.949499005702*1.133*1.11*1.015*1.01*1.015*1.0015*1.015</f>
        <v>43.830069406949853</v>
      </c>
      <c r="F187" s="71"/>
      <c r="G187" s="76"/>
    </row>
    <row r="188" spans="1:7" s="44" customFormat="1" ht="23.25" customHeight="1">
      <c r="A188" s="25">
        <f t="shared" si="2"/>
        <v>4</v>
      </c>
      <c r="B188" s="26" t="s">
        <v>94</v>
      </c>
      <c r="C188" s="25" t="s">
        <v>138</v>
      </c>
      <c r="D188" s="27">
        <v>4</v>
      </c>
      <c r="E188" s="24">
        <f>1.24765124*1.133*1.11*1.015*1.01*1.015*1.0015*1.015</f>
        <v>1.6596501341463104</v>
      </c>
      <c r="F188" s="71"/>
      <c r="G188" s="76"/>
    </row>
    <row r="189" spans="1:7" s="44" customFormat="1" ht="36" customHeight="1">
      <c r="A189" s="25">
        <f t="shared" si="2"/>
        <v>5</v>
      </c>
      <c r="B189" s="26" t="s">
        <v>95</v>
      </c>
      <c r="C189" s="25" t="s">
        <v>138</v>
      </c>
      <c r="D189" s="27">
        <v>6</v>
      </c>
      <c r="E189" s="24">
        <f>1.24765124*1.133*1.11*1.015*1.01*1.015*1.0015*1.015</f>
        <v>1.6596501341463104</v>
      </c>
      <c r="F189" s="71"/>
      <c r="G189" s="76"/>
    </row>
    <row r="190" spans="1:7" s="44" customFormat="1" ht="23.25" customHeight="1">
      <c r="A190" s="25"/>
      <c r="B190" s="49" t="s">
        <v>96</v>
      </c>
      <c r="C190" s="25"/>
      <c r="D190" s="28"/>
      <c r="E190" s="24"/>
      <c r="F190" s="71"/>
      <c r="G190" s="76">
        <v>0.23</v>
      </c>
    </row>
    <row r="191" spans="1:7" s="44" customFormat="1" ht="36" customHeight="1">
      <c r="A191" s="25">
        <f>A190+1</f>
        <v>1</v>
      </c>
      <c r="B191" s="26" t="s">
        <v>97</v>
      </c>
      <c r="C191" s="25" t="s">
        <v>31</v>
      </c>
      <c r="D191" s="27">
        <v>2</v>
      </c>
      <c r="E191" s="24">
        <f>66.0504402688*1.133*1.11*1.015*1.01*1.015*1.0015*1.015</f>
        <v>87.861590273045209</v>
      </c>
      <c r="F191" s="71"/>
      <c r="G191" s="25"/>
    </row>
    <row r="192" spans="1:7" s="44" customFormat="1" ht="36" customHeight="1">
      <c r="A192" s="25">
        <f t="shared" si="2"/>
        <v>2</v>
      </c>
      <c r="B192" s="26" t="s">
        <v>98</v>
      </c>
      <c r="C192" s="25" t="s">
        <v>29</v>
      </c>
      <c r="D192" s="27">
        <v>0.1691</v>
      </c>
      <c r="E192" s="24">
        <f>545.7169037739*1.133*1.11*1.015*1.01*1.015*1.0015*1.015</f>
        <v>725.92332177240667</v>
      </c>
      <c r="F192" s="71"/>
      <c r="G192" s="25"/>
    </row>
    <row r="193" spans="1:7" s="44" customFormat="1" ht="36" customHeight="1">
      <c r="A193" s="25">
        <f t="shared" si="2"/>
        <v>3</v>
      </c>
      <c r="B193" s="26" t="s">
        <v>99</v>
      </c>
      <c r="C193" s="25" t="s">
        <v>29</v>
      </c>
      <c r="D193" s="35">
        <v>7.46E-2</v>
      </c>
      <c r="E193" s="24">
        <f>709.7057936199*1.133*1.11*1.015*1.01*1.015*1.0015*1.015</f>
        <v>944.06455732427321</v>
      </c>
      <c r="F193" s="71"/>
      <c r="G193" s="25"/>
    </row>
    <row r="194" spans="1:7" s="44" customFormat="1" ht="23.25" customHeight="1">
      <c r="A194" s="25">
        <f t="shared" si="2"/>
        <v>4</v>
      </c>
      <c r="B194" s="26" t="s">
        <v>100</v>
      </c>
      <c r="C194" s="25" t="s">
        <v>29</v>
      </c>
      <c r="D194" s="35">
        <v>3.2099999999999997E-2</v>
      </c>
      <c r="E194" s="24">
        <f>709.7057936199*1.133*1.11*1.015*1.01*1.015*1.0015*1.015</f>
        <v>944.06455732427321</v>
      </c>
      <c r="F194" s="71"/>
      <c r="G194" s="25"/>
    </row>
    <row r="195" spans="1:7" s="44" customFormat="1" ht="23.25" customHeight="1">
      <c r="A195" s="25">
        <f t="shared" si="2"/>
        <v>5</v>
      </c>
      <c r="B195" s="26" t="s">
        <v>101</v>
      </c>
      <c r="C195" s="25" t="s">
        <v>29</v>
      </c>
      <c r="D195" s="35">
        <v>2.3800000000000002E-2</v>
      </c>
      <c r="E195" s="24">
        <f>709.7057936199*1.133*1.11*1.015*1.01*1.015*1.0015*1.015</f>
        <v>944.06455732427321</v>
      </c>
      <c r="F195" s="71"/>
      <c r="G195" s="25"/>
    </row>
    <row r="196" spans="1:7" s="44" customFormat="1" ht="36" customHeight="1">
      <c r="A196" s="25">
        <f t="shared" si="2"/>
        <v>6</v>
      </c>
      <c r="B196" s="26" t="s">
        <v>158</v>
      </c>
      <c r="C196" s="25" t="s">
        <v>145</v>
      </c>
      <c r="D196" s="30">
        <v>0.4</v>
      </c>
      <c r="E196" s="24">
        <f>37.6719819273*1.133*1.11*1.015*1.01*1.015*1.0015*1.015</f>
        <v>50.112008752703069</v>
      </c>
      <c r="F196" s="71"/>
      <c r="G196" s="25"/>
    </row>
    <row r="197" spans="1:7" s="44" customFormat="1" ht="36" customHeight="1">
      <c r="A197" s="25">
        <f t="shared" si="2"/>
        <v>7</v>
      </c>
      <c r="B197" s="26" t="s">
        <v>102</v>
      </c>
      <c r="C197" s="25" t="s">
        <v>31</v>
      </c>
      <c r="D197" s="27">
        <v>2</v>
      </c>
      <c r="E197" s="24">
        <f>1.181841623109*1.133*1.11*1.015*1.01*1.015*1.0015*1.015</f>
        <v>1.5721088918506945</v>
      </c>
      <c r="F197" s="71"/>
      <c r="G197" s="25"/>
    </row>
    <row r="198" spans="1:7" s="44" customFormat="1" ht="23.25" customHeight="1">
      <c r="A198" s="25">
        <f t="shared" si="2"/>
        <v>8</v>
      </c>
      <c r="B198" s="26" t="s">
        <v>103</v>
      </c>
      <c r="C198" s="25" t="s">
        <v>36</v>
      </c>
      <c r="D198" s="31">
        <v>2</v>
      </c>
      <c r="E198" s="24">
        <f>0.58332015*1.133*1.11*1.015*1.01*1.015*1.0015*1.015</f>
        <v>0.77594389694811339</v>
      </c>
      <c r="F198" s="71"/>
      <c r="G198" s="25"/>
    </row>
    <row r="199" spans="1:7" s="44" customFormat="1" ht="23.25" customHeight="1">
      <c r="A199" s="25">
        <f t="shared" si="2"/>
        <v>9</v>
      </c>
      <c r="B199" s="26" t="s">
        <v>104</v>
      </c>
      <c r="C199" s="25" t="s">
        <v>36</v>
      </c>
      <c r="D199" s="31">
        <v>1</v>
      </c>
      <c r="E199" s="24">
        <f>4.08324105*1.133*1.11*1.015*1.01*1.015*1.0015*1.015</f>
        <v>5.4316072786367933</v>
      </c>
      <c r="F199" s="71"/>
      <c r="G199" s="25"/>
    </row>
    <row r="200" spans="1:7" s="44" customFormat="1" ht="36" customHeight="1">
      <c r="A200" s="25">
        <f t="shared" si="2"/>
        <v>10</v>
      </c>
      <c r="B200" s="26" t="s">
        <v>105</v>
      </c>
      <c r="C200" s="25" t="s">
        <v>145</v>
      </c>
      <c r="D200" s="27">
        <v>6.4</v>
      </c>
      <c r="E200" s="24">
        <f>3.478056956*1.133*1.11*1.015*1.01*1.015*1.0015*1.015</f>
        <v>4.6265795348337138</v>
      </c>
      <c r="F200" s="71"/>
      <c r="G200" s="25"/>
    </row>
    <row r="201" spans="1:7" s="44" customFormat="1" ht="36" customHeight="1">
      <c r="A201" s="25">
        <f t="shared" si="2"/>
        <v>11</v>
      </c>
      <c r="B201" s="32" t="s">
        <v>106</v>
      </c>
      <c r="C201" s="25" t="s">
        <v>146</v>
      </c>
      <c r="D201" s="27">
        <v>0.08</v>
      </c>
      <c r="E201" s="24">
        <f>58.9510292275*1.133*1.11*1.015*1.01*1.015*1.0015*1.015</f>
        <v>78.417814553274866</v>
      </c>
      <c r="F201" s="71"/>
      <c r="G201" s="25"/>
    </row>
    <row r="202" spans="1:7" s="44" customFormat="1" ht="23.25" customHeight="1">
      <c r="A202" s="25">
        <f t="shared" si="2"/>
        <v>12</v>
      </c>
      <c r="B202" s="26" t="s">
        <v>107</v>
      </c>
      <c r="C202" s="25" t="s">
        <v>146</v>
      </c>
      <c r="D202" s="27">
        <v>0.01</v>
      </c>
      <c r="E202" s="24">
        <f>110.80963199571*1.133*1.11*1.015*1.01*1.015*1.0015*1.015</f>
        <v>147.40114441467102</v>
      </c>
      <c r="F202" s="71"/>
      <c r="G202" s="25"/>
    </row>
    <row r="203" spans="1:7" s="44" customFormat="1" ht="23.25" customHeight="1">
      <c r="A203" s="25">
        <f t="shared" si="2"/>
        <v>13</v>
      </c>
      <c r="B203" s="26" t="s">
        <v>108</v>
      </c>
      <c r="C203" s="25" t="s">
        <v>36</v>
      </c>
      <c r="D203" s="31">
        <v>2</v>
      </c>
      <c r="E203" s="24">
        <f>1.03309642*1.133*1.11*1.015*1.01*1.015*1.0015*1.015</f>
        <v>1.3742451071816133</v>
      </c>
      <c r="F203" s="71"/>
      <c r="G203" s="25"/>
    </row>
    <row r="204" spans="1:7" s="44" customFormat="1" ht="23.25" customHeight="1">
      <c r="A204" s="25">
        <f t="shared" si="2"/>
        <v>14</v>
      </c>
      <c r="B204" s="26" t="s">
        <v>109</v>
      </c>
      <c r="C204" s="25" t="s">
        <v>36</v>
      </c>
      <c r="D204" s="31">
        <v>1</v>
      </c>
      <c r="E204" s="24">
        <f>2.928044824*1.133*1.11*1.015*1.01*1.015*1.0015*1.015</f>
        <v>3.8949426162859493</v>
      </c>
      <c r="F204" s="71"/>
      <c r="G204" s="25"/>
    </row>
    <row r="205" spans="1:7" s="44" customFormat="1" ht="36" customHeight="1">
      <c r="A205" s="25">
        <f t="shared" ref="A205:A235" si="3">A204+1</f>
        <v>15</v>
      </c>
      <c r="B205" s="26" t="s">
        <v>110</v>
      </c>
      <c r="C205" s="25" t="s">
        <v>36</v>
      </c>
      <c r="D205" s="31">
        <v>2</v>
      </c>
      <c r="E205" s="24">
        <f>4.04293812*1.133*1.11*1.015*1.01*1.015*1.0015*1.015</f>
        <v>5.3779955311896543</v>
      </c>
      <c r="F205" s="71"/>
      <c r="G205" s="25"/>
    </row>
    <row r="206" spans="1:7" s="44" customFormat="1" ht="36" customHeight="1">
      <c r="A206" s="25">
        <f t="shared" si="3"/>
        <v>16</v>
      </c>
      <c r="B206" s="26" t="s">
        <v>111</v>
      </c>
      <c r="C206" s="25" t="s">
        <v>36</v>
      </c>
      <c r="D206" s="31">
        <v>1</v>
      </c>
      <c r="E206" s="24">
        <f>4.77754948*1.133*1.11*1.015*1.01*1.015*1.0015*1.015</f>
        <v>6.3551899610764906</v>
      </c>
      <c r="F206" s="71"/>
      <c r="G206" s="25"/>
    </row>
    <row r="207" spans="1:7" s="44" customFormat="1" ht="29.25" customHeight="1">
      <c r="A207" s="25"/>
      <c r="B207" s="49" t="s">
        <v>112</v>
      </c>
      <c r="C207" s="27"/>
      <c r="D207" s="27"/>
      <c r="E207" s="24"/>
      <c r="F207" s="71"/>
      <c r="G207" s="76">
        <v>1.42</v>
      </c>
    </row>
    <row r="208" spans="1:7" s="44" customFormat="1" ht="36" customHeight="1">
      <c r="A208" s="25">
        <f>A2077+1</f>
        <v>1</v>
      </c>
      <c r="B208" s="26" t="s">
        <v>113</v>
      </c>
      <c r="C208" s="25" t="s">
        <v>31</v>
      </c>
      <c r="D208" s="27">
        <v>4</v>
      </c>
      <c r="E208" s="24">
        <f>6.619948473473*1.133*1.11*1.015*1.01*1.015*1.0015*1.015</f>
        <v>8.8059852142984525</v>
      </c>
      <c r="F208" s="71"/>
      <c r="G208" s="25"/>
    </row>
    <row r="209" spans="1:7" s="44" customFormat="1" ht="36" customHeight="1">
      <c r="A209" s="25">
        <f t="shared" si="3"/>
        <v>2</v>
      </c>
      <c r="B209" s="26" t="s">
        <v>114</v>
      </c>
      <c r="C209" s="25" t="s">
        <v>31</v>
      </c>
      <c r="D209" s="27">
        <v>4</v>
      </c>
      <c r="E209" s="24">
        <f>18.734189937151*1.133*1.11*1.015*1.01*1.015*1.0015*1.015</f>
        <v>24.920586655542547</v>
      </c>
      <c r="F209" s="71"/>
      <c r="G209" s="25"/>
    </row>
    <row r="210" spans="1:7" s="44" customFormat="1" ht="23.25" customHeight="1">
      <c r="A210" s="25">
        <f t="shared" si="3"/>
        <v>3</v>
      </c>
      <c r="B210" s="26" t="s">
        <v>115</v>
      </c>
      <c r="C210" s="25" t="s">
        <v>36</v>
      </c>
      <c r="D210" s="27">
        <v>1</v>
      </c>
      <c r="E210" s="24">
        <f>6.0093641853*1.133*1.11*1.015*1.01*1.015*1.0015*1.015</f>
        <v>7.9937740263594641</v>
      </c>
      <c r="F210" s="71"/>
      <c r="G210" s="25"/>
    </row>
    <row r="211" spans="1:7" s="44" customFormat="1" ht="36" customHeight="1">
      <c r="A211" s="25">
        <f t="shared" si="3"/>
        <v>4</v>
      </c>
      <c r="B211" s="26" t="s">
        <v>116</v>
      </c>
      <c r="C211" s="25" t="s">
        <v>31</v>
      </c>
      <c r="D211" s="27">
        <v>4</v>
      </c>
      <c r="E211" s="24">
        <f>6.619948473473*1.133*1.11*1.015*1.01*1.015*1.0015*1.015</f>
        <v>8.8059852142984525</v>
      </c>
      <c r="F211" s="71"/>
      <c r="G211" s="25"/>
    </row>
    <row r="212" spans="1:7" s="44" customFormat="1" ht="36" customHeight="1">
      <c r="A212" s="25">
        <f t="shared" si="3"/>
        <v>5</v>
      </c>
      <c r="B212" s="26" t="s">
        <v>117</v>
      </c>
      <c r="C212" s="25" t="s">
        <v>31</v>
      </c>
      <c r="D212" s="27">
        <v>4</v>
      </c>
      <c r="E212" s="24">
        <f>6.619948473473*1.133*1.11*1.015*1.01*1.015*1.0015*1.015</f>
        <v>8.8059852142984525</v>
      </c>
      <c r="F212" s="71"/>
      <c r="G212" s="25"/>
    </row>
    <row r="213" spans="1:7" s="44" customFormat="1" ht="36" customHeight="1">
      <c r="A213" s="25">
        <f t="shared" si="3"/>
        <v>6</v>
      </c>
      <c r="B213" s="26" t="s">
        <v>118</v>
      </c>
      <c r="C213" s="27" t="s">
        <v>31</v>
      </c>
      <c r="D213" s="27">
        <v>12</v>
      </c>
      <c r="E213" s="24">
        <f>1.356251663824*1.133*1.11*1.015*1.01*1.015*1.0015*1.015</f>
        <v>1.8041125465491932</v>
      </c>
      <c r="F213" s="71"/>
      <c r="G213" s="25"/>
    </row>
    <row r="214" spans="1:7" s="44" customFormat="1" ht="36" customHeight="1">
      <c r="A214" s="25">
        <f t="shared" si="3"/>
        <v>7</v>
      </c>
      <c r="B214" s="26" t="s">
        <v>119</v>
      </c>
      <c r="C214" s="27" t="s">
        <v>31</v>
      </c>
      <c r="D214" s="27">
        <v>4</v>
      </c>
      <c r="E214" s="24">
        <f>2.672250038728*1.133*1.11*1.015*1.01*1.015*1.0015*1.015</f>
        <v>3.5546793791888573</v>
      </c>
      <c r="F214" s="71"/>
      <c r="G214" s="25"/>
    </row>
    <row r="215" spans="1:7" s="44" customFormat="1" ht="36" customHeight="1">
      <c r="A215" s="25">
        <f t="shared" si="3"/>
        <v>8</v>
      </c>
      <c r="B215" s="26" t="s">
        <v>120</v>
      </c>
      <c r="C215" s="25" t="s">
        <v>36</v>
      </c>
      <c r="D215" s="27">
        <v>2</v>
      </c>
      <c r="E215" s="24">
        <f>12.93991016*1.133*1.11*1.015*1.01*1.015*1.0015*1.015</f>
        <v>17.212922124683821</v>
      </c>
      <c r="F215" s="71"/>
      <c r="G215" s="25"/>
    </row>
    <row r="216" spans="1:7" s="44" customFormat="1" ht="36" customHeight="1">
      <c r="A216" s="25">
        <f t="shared" si="3"/>
        <v>9</v>
      </c>
      <c r="B216" s="32" t="s">
        <v>121</v>
      </c>
      <c r="C216" s="27" t="s">
        <v>36</v>
      </c>
      <c r="D216" s="27">
        <v>1</v>
      </c>
      <c r="E216" s="24">
        <f>39.3684439*1.133*1.11*1.015*1.01*1.015*1.0015*1.015</f>
        <v>52.368675720441317</v>
      </c>
      <c r="F216" s="71"/>
      <c r="G216" s="25"/>
    </row>
    <row r="217" spans="1:7" s="44" customFormat="1" ht="36" customHeight="1">
      <c r="A217" s="25">
        <f t="shared" si="3"/>
        <v>10</v>
      </c>
      <c r="B217" s="26" t="s">
        <v>122</v>
      </c>
      <c r="C217" s="25" t="s">
        <v>138</v>
      </c>
      <c r="D217" s="27">
        <v>0.4</v>
      </c>
      <c r="E217" s="24">
        <f>36.3487454*1.133*1.11*1.015*1.01*1.015*1.0015*1.015</f>
        <v>48.351813587874183</v>
      </c>
      <c r="F217" s="71"/>
      <c r="G217" s="25"/>
    </row>
    <row r="218" spans="1:7" s="44" customFormat="1" ht="36" customHeight="1">
      <c r="A218" s="25">
        <f t="shared" si="3"/>
        <v>11</v>
      </c>
      <c r="B218" s="32" t="s">
        <v>123</v>
      </c>
      <c r="C218" s="27" t="s">
        <v>85</v>
      </c>
      <c r="D218" s="27">
        <v>1</v>
      </c>
      <c r="E218" s="24">
        <f>27.9993672*1.133*1.11*1.015*1.01*1.015*1.0015*1.015</f>
        <v>37.245307053509443</v>
      </c>
      <c r="F218" s="71"/>
      <c r="G218" s="25"/>
    </row>
    <row r="219" spans="1:7" s="44" customFormat="1" ht="23.25" customHeight="1">
      <c r="A219" s="25">
        <f t="shared" si="3"/>
        <v>12</v>
      </c>
      <c r="B219" s="26" t="s">
        <v>124</v>
      </c>
      <c r="C219" s="25" t="s">
        <v>36</v>
      </c>
      <c r="D219" s="31">
        <v>2</v>
      </c>
      <c r="E219" s="24">
        <f>0.991644255*1.133*1.11*1.015*1.01*1.015*1.0015*1.015</f>
        <v>1.3191046248117926</v>
      </c>
      <c r="F219" s="71"/>
      <c r="G219" s="25"/>
    </row>
    <row r="220" spans="1:7" s="44" customFormat="1" ht="36" customHeight="1">
      <c r="A220" s="25">
        <f t="shared" si="3"/>
        <v>13</v>
      </c>
      <c r="B220" s="26" t="s">
        <v>159</v>
      </c>
      <c r="C220" s="25" t="s">
        <v>36</v>
      </c>
      <c r="D220" s="27">
        <v>1</v>
      </c>
      <c r="E220" s="24">
        <f>3.338142889599*1.133*1.11*1.015*1.01*1.015*1.0015*1.015</f>
        <v>4.4404631013090912</v>
      </c>
      <c r="F220" s="71"/>
      <c r="G220" s="25"/>
    </row>
    <row r="221" spans="1:7" s="44" customFormat="1" ht="23.25" customHeight="1">
      <c r="A221" s="25">
        <f t="shared" si="3"/>
        <v>14</v>
      </c>
      <c r="B221" s="26" t="s">
        <v>125</v>
      </c>
      <c r="C221" s="25" t="s">
        <v>65</v>
      </c>
      <c r="D221" s="30">
        <v>0.4</v>
      </c>
      <c r="E221" s="24">
        <f>0.70966729449*1.133*1.11*1.015*1.01*1.015*1.0015*1.015</f>
        <v>0.94401334502707457</v>
      </c>
      <c r="F221" s="71"/>
      <c r="G221" s="25"/>
    </row>
    <row r="222" spans="1:7" s="44" customFormat="1" ht="23.25" customHeight="1">
      <c r="A222" s="25">
        <f t="shared" si="3"/>
        <v>15</v>
      </c>
      <c r="B222" s="26" t="s">
        <v>103</v>
      </c>
      <c r="C222" s="25" t="s">
        <v>36</v>
      </c>
      <c r="D222" s="31">
        <v>1</v>
      </c>
      <c r="E222" s="24">
        <f>0.58332015*1.133*1.11*1.015*1.01*1.015*1.0015*1.015</f>
        <v>0.77594389694811339</v>
      </c>
      <c r="F222" s="71"/>
      <c r="G222" s="25"/>
    </row>
    <row r="223" spans="1:7" s="44" customFormat="1" ht="23.25" customHeight="1">
      <c r="A223" s="25">
        <f t="shared" si="3"/>
        <v>16</v>
      </c>
      <c r="B223" s="26" t="s">
        <v>107</v>
      </c>
      <c r="C223" s="25" t="s">
        <v>146</v>
      </c>
      <c r="D223" s="27">
        <v>5.0000000000000001E-3</v>
      </c>
      <c r="E223" s="24">
        <f>110.80963199571*1.133*1.11*1.015*1.01*1.015*1.0015*1.015</f>
        <v>147.40114441467102</v>
      </c>
      <c r="F223" s="71"/>
      <c r="G223" s="25"/>
    </row>
    <row r="224" spans="1:7" s="44" customFormat="1" ht="29.25" customHeight="1">
      <c r="A224" s="25"/>
      <c r="B224" s="66" t="s">
        <v>126</v>
      </c>
      <c r="C224" s="66"/>
      <c r="D224" s="66"/>
      <c r="E224" s="24"/>
      <c r="F224" s="71"/>
      <c r="G224" s="76">
        <v>1.1100000000000001</v>
      </c>
    </row>
    <row r="225" spans="1:17" s="44" customFormat="1" ht="36" customHeight="1">
      <c r="A225" s="25">
        <f t="shared" si="3"/>
        <v>1</v>
      </c>
      <c r="B225" s="26" t="s">
        <v>127</v>
      </c>
      <c r="C225" s="25" t="s">
        <v>138</v>
      </c>
      <c r="D225" s="27">
        <f>0.22*3</f>
        <v>0.66</v>
      </c>
      <c r="E225" s="24">
        <f>12.0293398028*1.133*1.11*1.015*1.01*1.015*1.0015*1.015</f>
        <v>16.001663587821682</v>
      </c>
      <c r="F225" s="71"/>
      <c r="G225" s="76"/>
    </row>
    <row r="226" spans="1:17" s="44" customFormat="1" ht="23.25" customHeight="1">
      <c r="A226" s="25">
        <f t="shared" si="3"/>
        <v>2</v>
      </c>
      <c r="B226" s="26" t="s">
        <v>128</v>
      </c>
      <c r="C226" s="25" t="s">
        <v>138</v>
      </c>
      <c r="D226" s="27">
        <f>0.52*3</f>
        <v>1.56</v>
      </c>
      <c r="E226" s="24">
        <f>37.0308172413019*1.133*1.11*1.015*1.01*1.015*1.0015*1.015</f>
        <v>49.259118920183319</v>
      </c>
      <c r="F226" s="71"/>
      <c r="G226" s="76"/>
    </row>
    <row r="227" spans="1:17" s="44" customFormat="1" ht="23.25" customHeight="1">
      <c r="A227" s="25">
        <f t="shared" si="3"/>
        <v>3</v>
      </c>
      <c r="B227" s="26" t="s">
        <v>129</v>
      </c>
      <c r="C227" s="25" t="s">
        <v>138</v>
      </c>
      <c r="D227" s="27">
        <f>0.9*3</f>
        <v>2.7</v>
      </c>
      <c r="E227" s="24">
        <f>45.4795938508869*1.133*1.11*1.015*1.01*1.015*1.0015*1.015</f>
        <v>60.497847167245347</v>
      </c>
      <c r="F227" s="71"/>
      <c r="G227" s="76"/>
    </row>
    <row r="228" spans="1:17" s="44" customFormat="1" ht="23.25" customHeight="1">
      <c r="A228" s="25">
        <f t="shared" si="3"/>
        <v>4</v>
      </c>
      <c r="B228" s="26" t="s">
        <v>28</v>
      </c>
      <c r="C228" s="25" t="s">
        <v>29</v>
      </c>
      <c r="D228" s="27">
        <v>0.25703999999999999</v>
      </c>
      <c r="E228" s="24">
        <f>54.16216740224*1.133*1.11*1.015*1.01*1.015*1.0015*1.015</f>
        <v>72.047576688804895</v>
      </c>
      <c r="F228" s="71"/>
      <c r="G228" s="76"/>
    </row>
    <row r="229" spans="1:17" s="44" customFormat="1" ht="23.25" customHeight="1">
      <c r="A229" s="25">
        <f t="shared" si="3"/>
        <v>5</v>
      </c>
      <c r="B229" s="26" t="s">
        <v>130</v>
      </c>
      <c r="C229" s="25" t="s">
        <v>31</v>
      </c>
      <c r="D229" s="27">
        <v>15.6</v>
      </c>
      <c r="E229" s="24">
        <f>1.443425711175*1.133*1.11*1.015*1.01*1.015*1.0015*1.015</f>
        <v>1.9200731729981064</v>
      </c>
      <c r="F229" s="71"/>
      <c r="G229" s="76"/>
    </row>
    <row r="230" spans="1:17" s="44" customFormat="1" ht="23.25" customHeight="1">
      <c r="A230" s="25">
        <f t="shared" si="3"/>
        <v>6</v>
      </c>
      <c r="B230" s="26" t="s">
        <v>131</v>
      </c>
      <c r="C230" s="25" t="s">
        <v>145</v>
      </c>
      <c r="D230" s="30">
        <f>6.4*3</f>
        <v>19.200000000000003</v>
      </c>
      <c r="E230" s="24">
        <f>0.9239791176*1.133*1.11*1.015*1.01*1.015*1.0015*1.015</f>
        <v>1.2290951327658111</v>
      </c>
      <c r="F230" s="71"/>
      <c r="G230" s="76"/>
    </row>
    <row r="231" spans="1:17" s="44" customFormat="1" ht="23.25" customHeight="1">
      <c r="A231" s="25">
        <f t="shared" si="3"/>
        <v>7</v>
      </c>
      <c r="B231" s="26" t="s">
        <v>132</v>
      </c>
      <c r="C231" s="25" t="s">
        <v>29</v>
      </c>
      <c r="D231" s="51">
        <v>8.5199999999999998E-3</v>
      </c>
      <c r="E231" s="24">
        <f>437.4901125*1.133*1.11*1.015*1.01*1.015*1.0015*1.015</f>
        <v>581.95792271108508</v>
      </c>
      <c r="F231" s="71"/>
      <c r="G231" s="76"/>
    </row>
    <row r="232" spans="1:17" s="44" customFormat="1" ht="23.25" customHeight="1">
      <c r="A232" s="25">
        <f t="shared" si="3"/>
        <v>8</v>
      </c>
      <c r="B232" s="26" t="s">
        <v>133</v>
      </c>
      <c r="C232" s="25" t="s">
        <v>29</v>
      </c>
      <c r="D232" s="51">
        <v>0.16968</v>
      </c>
      <c r="E232" s="24">
        <f>709.7057936199*1.133*1.11*1.015*1.01*1.015*1.0015*1.015</f>
        <v>944.06455732427321</v>
      </c>
      <c r="F232" s="71"/>
      <c r="G232" s="76"/>
    </row>
    <row r="233" spans="1:17" s="44" customFormat="1" ht="23.25" customHeight="1">
      <c r="A233" s="25">
        <f t="shared" si="3"/>
        <v>9</v>
      </c>
      <c r="B233" s="26" t="s">
        <v>160</v>
      </c>
      <c r="C233" s="25" t="s">
        <v>36</v>
      </c>
      <c r="D233" s="31">
        <f>4*3</f>
        <v>12</v>
      </c>
      <c r="E233" s="24">
        <f>0.58332015*1.133*1.11*1.015*1.01*1.015*1.0015*1.015</f>
        <v>0.77594389694811339</v>
      </c>
      <c r="F233" s="71"/>
      <c r="G233" s="76"/>
    </row>
    <row r="234" spans="1:17" s="44" customFormat="1" ht="23.25" customHeight="1">
      <c r="A234" s="25">
        <f t="shared" si="3"/>
        <v>10</v>
      </c>
      <c r="B234" s="26" t="s">
        <v>73</v>
      </c>
      <c r="C234" s="25" t="s">
        <v>36</v>
      </c>
      <c r="D234" s="31">
        <f>2*3</f>
        <v>6</v>
      </c>
      <c r="E234" s="24">
        <f>4.08324105*1.133*1.11*1.015*1.01*1.015*1.0015*1.015</f>
        <v>5.4316072786367933</v>
      </c>
      <c r="F234" s="71"/>
      <c r="G234" s="76"/>
    </row>
    <row r="235" spans="1:17" s="44" customFormat="1" ht="36" customHeight="1">
      <c r="A235" s="25">
        <f t="shared" si="3"/>
        <v>11</v>
      </c>
      <c r="B235" s="52" t="s">
        <v>134</v>
      </c>
      <c r="C235" s="25" t="s">
        <v>146</v>
      </c>
      <c r="D235" s="27">
        <f>0.025*3</f>
        <v>7.5000000000000011E-2</v>
      </c>
      <c r="E235" s="24">
        <f>110.80963199571*1.133*1.11*1.015*1.01*1.015*1.0015*1.015</f>
        <v>147.40114441467102</v>
      </c>
      <c r="F235" s="71"/>
      <c r="G235" s="76">
        <v>1.5</v>
      </c>
    </row>
    <row r="236" spans="1:17" s="44" customFormat="1" ht="36" customHeight="1">
      <c r="A236" s="53"/>
      <c r="B236" s="54"/>
      <c r="C236" s="53"/>
      <c r="D236" s="55"/>
      <c r="E236" s="56"/>
      <c r="F236" s="56"/>
      <c r="G236" s="76">
        <f>SUM(G44:G235)</f>
        <v>100.00000000000003</v>
      </c>
    </row>
    <row r="237" spans="1:17" s="44" customFormat="1" ht="21.75" customHeight="1">
      <c r="A237" s="53"/>
      <c r="B237" s="45" t="s">
        <v>135</v>
      </c>
      <c r="C237" s="45"/>
      <c r="D237" s="45"/>
      <c r="E237" s="45"/>
      <c r="F237" s="57">
        <v>35872.288943905391</v>
      </c>
      <c r="Q237" s="58"/>
    </row>
    <row r="238" spans="1:17" s="44" customFormat="1" ht="21.75" customHeight="1">
      <c r="A238" s="53"/>
      <c r="B238" s="59" t="s">
        <v>136</v>
      </c>
      <c r="C238" s="45"/>
      <c r="D238" s="45"/>
      <c r="E238" s="45"/>
      <c r="F238" s="57">
        <v>7174.4577887810783</v>
      </c>
      <c r="Q238" s="58"/>
    </row>
    <row r="239" spans="1:17" s="44" customFormat="1" ht="21.75" customHeight="1">
      <c r="A239" s="53"/>
      <c r="B239" s="45" t="s">
        <v>135</v>
      </c>
      <c r="C239" s="45"/>
      <c r="D239" s="45"/>
      <c r="E239" s="45"/>
      <c r="F239" s="57">
        <v>43046.746732686472</v>
      </c>
      <c r="G239" s="43"/>
      <c r="Q239" s="58"/>
    </row>
    <row r="240" spans="1:17" s="44" customFormat="1" ht="18" customHeight="1"/>
    <row r="241" spans="1:8" s="44" customFormat="1" ht="18" customHeight="1">
      <c r="A241" s="60"/>
      <c r="B241" s="60"/>
      <c r="C241" s="60"/>
      <c r="D241" s="60"/>
      <c r="E241" s="60"/>
      <c r="F241" s="60"/>
      <c r="H241" s="2"/>
    </row>
    <row r="242" spans="1:8" s="44" customFormat="1" ht="18" customHeight="1">
      <c r="A242" s="60"/>
      <c r="B242" s="60"/>
      <c r="C242" s="60"/>
      <c r="D242" s="60"/>
      <c r="E242" s="60"/>
      <c r="F242" s="60"/>
      <c r="H242" s="2"/>
    </row>
    <row r="243" spans="1:8" s="44" customFormat="1" ht="18" customHeight="1">
      <c r="A243" s="60"/>
      <c r="B243" s="60"/>
      <c r="C243" s="60"/>
      <c r="D243" s="60"/>
      <c r="E243" s="60"/>
      <c r="F243" s="60"/>
      <c r="H243" s="2"/>
    </row>
  </sheetData>
  <mergeCells count="7">
    <mergeCell ref="B224:D224"/>
    <mergeCell ref="G4:G9"/>
    <mergeCell ref="A2:F2"/>
    <mergeCell ref="A3:F3"/>
    <mergeCell ref="B112:D112"/>
    <mergeCell ref="B151:D151"/>
    <mergeCell ref="B183:D183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2023-05-23T09:57:15Z</dcterms:modified>
</cp:coreProperties>
</file>